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!Личные папки\ФО_тендерный\Проекты\Тендеры\Черная речка\Т78 - СМР_Черная речка _ Отделка автостоянки\Тендер отделка автостоянки\"/>
    </mc:Choice>
  </mc:AlternateContent>
  <xr:revisionPtr revIDLastSave="0" documentId="13_ncr:1_{51417870-7257-4D06-887A-8D50F8542DE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839" xr2:uid="{00000000-000D-0000-FFFF-FFFF00000000}"/>
  </bookViews>
  <sheets>
    <sheet name="ВОР по секционно" sheetId="4" r:id="rId1"/>
    <sheet name="ВОР" sheetId="1" r:id="rId2"/>
    <sheet name="объемы" sheetId="2" r:id="rId3"/>
  </sheets>
  <definedNames>
    <definedName name="_xlnm._FilterDatabase" localSheetId="1" hidden="1">ВОР!$A$11:$L$51</definedName>
    <definedName name="_xlnm._FilterDatabase" localSheetId="0" hidden="1">'ВОР по секционно'!$A$15:$L$41</definedName>
    <definedName name="_xlnm._FilterDatabase" localSheetId="2" hidden="1">объемы!$A$11:$L$51</definedName>
    <definedName name="_xlnm.Print_Area" localSheetId="1">ВОР!$A$1:$L$54</definedName>
    <definedName name="_xlnm.Print_Area" localSheetId="0">'ВОР по секционно'!$A$1:$N$150</definedName>
    <definedName name="_xlnm.Print_Area" localSheetId="2">объемы!$A$1:$L$89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9" i="4" l="1"/>
  <c r="F38" i="4" l="1"/>
  <c r="I38" i="4" s="1"/>
  <c r="H37" i="4"/>
  <c r="I37" i="4" s="1"/>
  <c r="F36" i="4"/>
  <c r="I36" i="4" s="1"/>
  <c r="H35" i="4"/>
  <c r="I35" i="4" s="1"/>
  <c r="H33" i="4"/>
  <c r="I33" i="4" s="1"/>
  <c r="F34" i="4"/>
  <c r="I34" i="4" s="1"/>
  <c r="H31" i="4"/>
  <c r="I31" i="4" s="1"/>
  <c r="D32" i="4"/>
  <c r="F32" i="4" s="1"/>
  <c r="H22" i="4"/>
  <c r="I22" i="4" s="1"/>
  <c r="D112" i="4"/>
  <c r="D117" i="4" l="1"/>
  <c r="D119" i="4" s="1"/>
  <c r="F119" i="4" s="1"/>
  <c r="I119" i="4" s="1"/>
  <c r="D114" i="4"/>
  <c r="D116" i="4" s="1"/>
  <c r="F116" i="4" s="1"/>
  <c r="I116" i="4" s="1"/>
  <c r="D113" i="4"/>
  <c r="F113" i="4" s="1"/>
  <c r="I113" i="4" s="1"/>
  <c r="H112" i="4"/>
  <c r="I112" i="4" s="1"/>
  <c r="D110" i="4"/>
  <c r="D111" i="4" s="1"/>
  <c r="F111" i="4" s="1"/>
  <c r="I111" i="4" s="1"/>
  <c r="D108" i="4"/>
  <c r="H108" i="4" s="1"/>
  <c r="I108" i="4" s="1"/>
  <c r="D106" i="4"/>
  <c r="D107" i="4" s="1"/>
  <c r="F107" i="4" s="1"/>
  <c r="I107" i="4" s="1"/>
  <c r="D104" i="4"/>
  <c r="H104" i="4" s="1"/>
  <c r="I104" i="4" s="1"/>
  <c r="D102" i="4"/>
  <c r="D103" i="4" s="1"/>
  <c r="F103" i="4" s="1"/>
  <c r="D101" i="4"/>
  <c r="H101" i="4" s="1"/>
  <c r="F99" i="4"/>
  <c r="I99" i="4" s="1"/>
  <c r="H98" i="4"/>
  <c r="I98" i="4" s="1"/>
  <c r="D97" i="4"/>
  <c r="F97" i="4" s="1"/>
  <c r="I97" i="4" s="1"/>
  <c r="H96" i="4"/>
  <c r="I96" i="4" s="1"/>
  <c r="D95" i="4"/>
  <c r="F95" i="4" s="1"/>
  <c r="I95" i="4" s="1"/>
  <c r="H94" i="4"/>
  <c r="I94" i="4" s="1"/>
  <c r="D93" i="4"/>
  <c r="F93" i="4" s="1"/>
  <c r="I93" i="4" s="1"/>
  <c r="H92" i="4"/>
  <c r="I92" i="4" s="1"/>
  <c r="D90" i="4"/>
  <c r="D91" i="4" s="1"/>
  <c r="F91" i="4" s="1"/>
  <c r="I91" i="4" s="1"/>
  <c r="D89" i="4"/>
  <c r="F89" i="4" s="1"/>
  <c r="I89" i="4" s="1"/>
  <c r="H88" i="4"/>
  <c r="I88" i="4" s="1"/>
  <c r="D87" i="4"/>
  <c r="F87" i="4" s="1"/>
  <c r="I87" i="4" s="1"/>
  <c r="H86" i="4"/>
  <c r="I86" i="4" s="1"/>
  <c r="D85" i="4"/>
  <c r="F85" i="4" s="1"/>
  <c r="I85" i="4" s="1"/>
  <c r="H84" i="4"/>
  <c r="F83" i="4"/>
  <c r="I83" i="4" s="1"/>
  <c r="F82" i="4"/>
  <c r="I82" i="4" s="1"/>
  <c r="F81" i="4"/>
  <c r="I81" i="4" s="1"/>
  <c r="H80" i="4"/>
  <c r="I80" i="4" s="1"/>
  <c r="F79" i="4"/>
  <c r="I79" i="4" s="1"/>
  <c r="F78" i="4"/>
  <c r="I78" i="4" s="1"/>
  <c r="D77" i="4"/>
  <c r="F77" i="4" s="1"/>
  <c r="H76" i="4"/>
  <c r="I76" i="4" s="1"/>
  <c r="H74" i="4"/>
  <c r="F74" i="4"/>
  <c r="H73" i="4"/>
  <c r="F73" i="4"/>
  <c r="H72" i="4"/>
  <c r="F72" i="4"/>
  <c r="H71" i="4"/>
  <c r="F71" i="4"/>
  <c r="H70" i="4"/>
  <c r="F70" i="4"/>
  <c r="H69" i="4"/>
  <c r="F69" i="4"/>
  <c r="H68" i="4"/>
  <c r="F68" i="4"/>
  <c r="H67" i="4"/>
  <c r="F67" i="4"/>
  <c r="H66" i="4"/>
  <c r="F66" i="4"/>
  <c r="H65" i="4"/>
  <c r="F65" i="4"/>
  <c r="H64" i="4"/>
  <c r="F64" i="4"/>
  <c r="H63" i="4"/>
  <c r="F63" i="4"/>
  <c r="H62" i="4"/>
  <c r="F62" i="4"/>
  <c r="H61" i="4"/>
  <c r="F61" i="4"/>
  <c r="H60" i="4"/>
  <c r="F60" i="4"/>
  <c r="H59" i="4"/>
  <c r="F59" i="4"/>
  <c r="H58" i="4"/>
  <c r="F58" i="4"/>
  <c r="H57" i="4"/>
  <c r="F57" i="4"/>
  <c r="H56" i="4"/>
  <c r="F56" i="4"/>
  <c r="H55" i="4"/>
  <c r="F55" i="4"/>
  <c r="H54" i="4"/>
  <c r="F54" i="4"/>
  <c r="H53" i="4"/>
  <c r="F53" i="4"/>
  <c r="H52" i="4"/>
  <c r="F52" i="4"/>
  <c r="H51" i="4"/>
  <c r="F51" i="4"/>
  <c r="H50" i="4"/>
  <c r="F50" i="4"/>
  <c r="H49" i="4"/>
  <c r="F49" i="4"/>
  <c r="H48" i="4"/>
  <c r="F48" i="4"/>
  <c r="H47" i="4"/>
  <c r="F47" i="4"/>
  <c r="H46" i="4"/>
  <c r="F46" i="4"/>
  <c r="H45" i="4"/>
  <c r="F45" i="4"/>
  <c r="H44" i="4"/>
  <c r="F44" i="4"/>
  <c r="I60" i="4" l="1"/>
  <c r="I44" i="4"/>
  <c r="I62" i="4"/>
  <c r="I51" i="4"/>
  <c r="H117" i="4"/>
  <c r="I117" i="4" s="1"/>
  <c r="I68" i="4"/>
  <c r="D118" i="4"/>
  <c r="F118" i="4" s="1"/>
  <c r="I118" i="4" s="1"/>
  <c r="I63" i="4"/>
  <c r="I46" i="4"/>
  <c r="I52" i="4"/>
  <c r="I64" i="4"/>
  <c r="I48" i="4"/>
  <c r="I47" i="4"/>
  <c r="I65" i="4"/>
  <c r="I71" i="4"/>
  <c r="I72" i="4"/>
  <c r="I55" i="4"/>
  <c r="I67" i="4"/>
  <c r="I56" i="4"/>
  <c r="I58" i="4"/>
  <c r="I59" i="4"/>
  <c r="I53" i="4"/>
  <c r="I69" i="4"/>
  <c r="I54" i="4"/>
  <c r="I70" i="4"/>
  <c r="H43" i="4"/>
  <c r="I49" i="4"/>
  <c r="D109" i="4"/>
  <c r="F109" i="4" s="1"/>
  <c r="I109" i="4" s="1"/>
  <c r="I50" i="4"/>
  <c r="I45" i="4"/>
  <c r="I61" i="4"/>
  <c r="F43" i="4"/>
  <c r="I66" i="4"/>
  <c r="I57" i="4"/>
  <c r="I73" i="4"/>
  <c r="I74" i="4"/>
  <c r="D105" i="4"/>
  <c r="F105" i="4" s="1"/>
  <c r="I105" i="4" s="1"/>
  <c r="F75" i="4"/>
  <c r="I77" i="4"/>
  <c r="I103" i="4"/>
  <c r="H102" i="4"/>
  <c r="I102" i="4" s="1"/>
  <c r="H106" i="4"/>
  <c r="I106" i="4" s="1"/>
  <c r="H110" i="4"/>
  <c r="I110" i="4" s="1"/>
  <c r="H114" i="4"/>
  <c r="I114" i="4" s="1"/>
  <c r="I84" i="4"/>
  <c r="D115" i="4"/>
  <c r="F115" i="4" s="1"/>
  <c r="I115" i="4" s="1"/>
  <c r="I101" i="4"/>
  <c r="H90" i="4"/>
  <c r="I90" i="4" s="1"/>
  <c r="I43" i="4" l="1"/>
  <c r="I75" i="4"/>
  <c r="H100" i="4"/>
  <c r="I100" i="4"/>
  <c r="F100" i="4"/>
  <c r="H75" i="4"/>
  <c r="D25" i="4" l="1"/>
  <c r="H25" i="4" s="1"/>
  <c r="I25" i="4" s="1"/>
  <c r="D26" i="4" l="1"/>
  <c r="F26" i="4" s="1"/>
  <c r="I26" i="4" s="1"/>
  <c r="H42" i="4" l="1"/>
  <c r="F42" i="4"/>
  <c r="I42" i="4" l="1"/>
  <c r="D40" i="4"/>
  <c r="D41" i="4" s="1"/>
  <c r="D28" i="4"/>
  <c r="H28" i="4" s="1"/>
  <c r="I28" i="4" s="1"/>
  <c r="D23" i="4"/>
  <c r="F27" i="4"/>
  <c r="I27" i="4" s="1"/>
  <c r="D24" i="4" l="1"/>
  <c r="F24" i="4" s="1"/>
  <c r="I24" i="4" s="1"/>
  <c r="H23" i="4"/>
  <c r="I23" i="4" s="1"/>
  <c r="D29" i="4"/>
  <c r="D30" i="4"/>
  <c r="H30" i="4" s="1"/>
  <c r="I30" i="4" s="1"/>
  <c r="I32" i="4" l="1"/>
  <c r="F29" i="4"/>
  <c r="I29" i="4" s="1"/>
  <c r="D19" i="4"/>
  <c r="D18" i="4"/>
  <c r="D20" i="4" l="1"/>
  <c r="H40" i="4" l="1"/>
  <c r="I40" i="4" s="1"/>
  <c r="H21" i="4" l="1"/>
  <c r="F41" i="4"/>
  <c r="I41" i="4" s="1"/>
  <c r="I21" i="4" l="1"/>
  <c r="F21" i="4"/>
  <c r="F39" i="4" l="1"/>
  <c r="F120" i="4" s="1"/>
  <c r="H39" i="4" l="1"/>
  <c r="H120" i="4" s="1"/>
  <c r="F20" i="4"/>
  <c r="I20" i="4" s="1"/>
  <c r="H18" i="4"/>
  <c r="I18" i="4" l="1"/>
  <c r="I39" i="4"/>
  <c r="I120" i="4" s="1"/>
  <c r="I121" i="4" s="1"/>
  <c r="H19" i="4"/>
  <c r="I19" i="4" s="1"/>
  <c r="H17" i="4" l="1"/>
  <c r="F17" i="4" l="1"/>
  <c r="I17" i="4"/>
  <c r="Z75" i="2"/>
  <c r="Z69" i="2"/>
  <c r="Z62" i="2"/>
  <c r="Z56" i="2"/>
  <c r="W55" i="2"/>
  <c r="O77" i="2"/>
  <c r="W60" i="2" l="1"/>
  <c r="D76" i="2"/>
  <c r="D70" i="2"/>
  <c r="D63" i="2"/>
  <c r="D57" i="2"/>
  <c r="L61" i="2" l="1"/>
  <c r="M61" i="2" s="1"/>
  <c r="N61" i="2"/>
  <c r="Q61" i="2"/>
  <c r="O61" i="2"/>
  <c r="N68" i="2"/>
  <c r="O68" i="2"/>
  <c r="Q68" i="2"/>
  <c r="Q74" i="2"/>
  <c r="O74" i="2"/>
  <c r="N74" i="2"/>
  <c r="L68" i="2"/>
  <c r="M68" i="2" s="1"/>
  <c r="R68" i="2" s="1"/>
  <c r="L55" i="2"/>
  <c r="M55" i="2" s="1"/>
  <c r="R55" i="2" s="1"/>
  <c r="O55" i="2"/>
  <c r="N55" i="2"/>
  <c r="W59" i="2"/>
  <c r="W77" i="2" s="1"/>
  <c r="Q55" i="2"/>
  <c r="L74" i="2"/>
  <c r="M74" i="2" s="1"/>
  <c r="M29" i="1"/>
  <c r="M32" i="1" s="1"/>
  <c r="D25" i="1"/>
  <c r="M25" i="1"/>
  <c r="M24" i="1"/>
  <c r="D23" i="1"/>
  <c r="D22" i="1"/>
  <c r="D21" i="1"/>
  <c r="D24" i="1" s="1"/>
  <c r="D27" i="1"/>
  <c r="D26" i="1"/>
  <c r="D20" i="1"/>
  <c r="D16" i="1"/>
  <c r="D50" i="2"/>
  <c r="D52" i="2" s="1"/>
  <c r="D46" i="2"/>
  <c r="D40" i="2"/>
  <c r="D34" i="2"/>
  <c r="D28" i="2"/>
  <c r="L14" i="2"/>
  <c r="D14" i="2"/>
  <c r="R61" i="2" l="1"/>
  <c r="D28" i="1"/>
  <c r="D30" i="1" s="1"/>
  <c r="R74" i="2"/>
  <c r="R77" i="2"/>
  <c r="M30" i="1"/>
  <c r="M33" i="1" s="1"/>
  <c r="D29" i="1"/>
  <c r="L26" i="2"/>
  <c r="N26" i="2"/>
  <c r="O26" i="2"/>
  <c r="N38" i="2"/>
  <c r="L38" i="2"/>
  <c r="M38" i="2" s="1"/>
  <c r="O38" i="2"/>
  <c r="M47" i="2"/>
  <c r="L32" i="2"/>
  <c r="M32" i="2" s="1"/>
  <c r="N32" i="2"/>
  <c r="O32" i="2"/>
  <c r="L44" i="2"/>
  <c r="M44" i="2" s="1"/>
  <c r="N44" i="2"/>
  <c r="O44" i="2"/>
  <c r="M26" i="2"/>
  <c r="Q26" i="2" s="1"/>
  <c r="D14" i="1"/>
  <c r="Q38" i="2" l="1"/>
  <c r="Q44" i="2"/>
  <c r="Q32" i="2"/>
  <c r="Q49" i="2" s="1"/>
  <c r="L50" i="2"/>
  <c r="L52" i="2" s="1"/>
</calcChain>
</file>

<file path=xl/sharedStrings.xml><?xml version="1.0" encoding="utf-8"?>
<sst xmlns="http://schemas.openxmlformats.org/spreadsheetml/2006/main" count="527" uniqueCount="276">
  <si>
    <t>№ п/п</t>
  </si>
  <si>
    <t>Ед. изм.</t>
  </si>
  <si>
    <t>Количество</t>
  </si>
  <si>
    <t>Наименование работ</t>
  </si>
  <si>
    <t>Всего, с НДС 20 % , руб.</t>
  </si>
  <si>
    <t>Цена за ед.</t>
  </si>
  <si>
    <t>Примечание</t>
  </si>
  <si>
    <t>Стоимость всего,  руб.</t>
  </si>
  <si>
    <t>Материал, оборудование, в т.ч. НДС  20%, руб.</t>
  </si>
  <si>
    <t>СМР, в т.ч. НДС 20%, руб</t>
  </si>
  <si>
    <t>Т/з осн.раб., чел/час</t>
  </si>
  <si>
    <t>Кол-во на ед. объёма, чел/час</t>
  </si>
  <si>
    <t>Кол-во на весь объём, чел/час</t>
  </si>
  <si>
    <t>ВЕДОМОСТЬ ОБЪЁМА РАБОТ</t>
  </si>
  <si>
    <t>на комплекс работ по отделке 1 комнатной квартиры (отделка СКАНДИ)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</si>
  <si>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
дом 1, литера А»</t>
  </si>
  <si>
    <t>РАСЧЕТ СТОИМОСТИ РАБОТ</t>
  </si>
  <si>
    <t>на объекте: «Многоквартирный жилой дом со встроенными помещениями и встроенно-пристроенным подземным гаражом, по адресу: г. Санкт-Петербург, набережная Черной речки, дом 1, литера А»</t>
  </si>
  <si>
    <t>на комплекс работ по отделке МОП</t>
  </si>
  <si>
    <t>МОП 2-10 этажи (межквартирные коридоры,лифтовые холлы,тамбуры перед ЛК)</t>
  </si>
  <si>
    <t>Устройство потолков</t>
  </si>
  <si>
    <t>м2</t>
  </si>
  <si>
    <t>Стены/перегородки/пилоны/колонны</t>
  </si>
  <si>
    <t>Цем.-песчаная штукатурка</t>
  </si>
  <si>
    <t>Оштукатуривание стен 20 мм</t>
  </si>
  <si>
    <t>Подвесной потолок гриято</t>
  </si>
  <si>
    <t>2 этаж</t>
  </si>
  <si>
    <t>МОП в/о 9.1-16.1/А1-М1</t>
  </si>
  <si>
    <t>S=</t>
  </si>
  <si>
    <t>P=</t>
  </si>
  <si>
    <t>S проемов =</t>
  </si>
  <si>
    <t>h этажа =</t>
  </si>
  <si>
    <t>h 1 этажа =3,3</t>
  </si>
  <si>
    <t>МОП в/о 8.2-16.2/А2-П2</t>
  </si>
  <si>
    <t>МОП в/о 3.1-6.1/А1-М1</t>
  </si>
  <si>
    <t>МОП в/о 3.2-5.2/А2-П2</t>
  </si>
  <si>
    <t>Укладка плитки напольной</t>
  </si>
  <si>
    <t>Плитка</t>
  </si>
  <si>
    <t>Подвесной потолок Грильято, ячейка 50х50х40. Цвет черный</t>
  </si>
  <si>
    <t>Штукатурка цементно-известковая Крепс 25 кг</t>
  </si>
  <si>
    <t>мешек</t>
  </si>
  <si>
    <t>Устройство общивки стен из ГКЛ</t>
  </si>
  <si>
    <t>Устройство отделки стен металлическим листом</t>
  </si>
  <si>
    <t>Металлическая панель цвет черный</t>
  </si>
  <si>
    <t>Профиль направляющий knauf 50х40 мм 3 м</t>
  </si>
  <si>
    <t>шт</t>
  </si>
  <si>
    <t>Профиль стоечный Knauf 50х50 мм 3 м 0,60 мм</t>
  </si>
  <si>
    <t>Гипсокартон Knauf 2500х1200х12,5</t>
  </si>
  <si>
    <t>брус 50х50 с огнебиозащитой</t>
  </si>
  <si>
    <t>Устройство Декоративной штукатурки по ГКЛ</t>
  </si>
  <si>
    <t>Декоративная штукатурка Цвет темно-серый N499 Mantteli 2.5 мм</t>
  </si>
  <si>
    <t>Декоративная штукатурка Цвет светло-серый G487 Batisti 2.5 мм</t>
  </si>
  <si>
    <t>ЛК в/о 9.1-16.1/А1-М1</t>
  </si>
  <si>
    <t>ЛК в/о 3.1-6.1/А1-М1</t>
  </si>
  <si>
    <t>ЛК в/о 3.2-5.2/А2-П2</t>
  </si>
  <si>
    <t>ЛК в/о 8.2-16.2/А2-П2</t>
  </si>
  <si>
    <t>h 10 этажа =5,15</t>
  </si>
  <si>
    <t>h 1 этажа =2,33</t>
  </si>
  <si>
    <t>S моп</t>
  </si>
  <si>
    <t>h 1 этажа =3,4</t>
  </si>
  <si>
    <t>h 10 этажа =3,5</t>
  </si>
  <si>
    <t>h подвала =3,3</t>
  </si>
  <si>
    <t>S ЛК</t>
  </si>
  <si>
    <t>S маршей и площадок</t>
  </si>
  <si>
    <t>1.1</t>
  </si>
  <si>
    <t>1.2</t>
  </si>
  <si>
    <t>2.1</t>
  </si>
  <si>
    <t>2.2</t>
  </si>
  <si>
    <t>2.3</t>
  </si>
  <si>
    <t>2.4</t>
  </si>
  <si>
    <t>3.1</t>
  </si>
  <si>
    <t>л</t>
  </si>
  <si>
    <t>ВСЕГО затрат на выполнение полного комплекса работ:</t>
  </si>
  <si>
    <t>м3</t>
  </si>
  <si>
    <t>Пленка</t>
  </si>
  <si>
    <t>ДВП</t>
  </si>
  <si>
    <t>Грунтовка глубокого проникновения</t>
  </si>
  <si>
    <t>Общее примечание</t>
  </si>
  <si>
    <t>Комплекс работ по отделке паркинга (автостоянка)</t>
  </si>
  <si>
    <t>на комплекс работ по отделке паркинга (автостоянка)</t>
  </si>
  <si>
    <t>Стены паркинга (автостоянка)</t>
  </si>
  <si>
    <t>Затирка железобетона</t>
  </si>
  <si>
    <t>Пол паркинга (автостоянка)</t>
  </si>
  <si>
    <t>Огрунтовывание поверхности пола в 1 слой перед устройством цементно-песчаной стяжки</t>
  </si>
  <si>
    <t>Укрытие пола</t>
  </si>
  <si>
    <t>Потолок паркинга (автостоянка)</t>
  </si>
  <si>
    <t>в т.ч. НДС 22 % :</t>
  </si>
  <si>
    <t>Всего, с НДС 22 % , руб.</t>
  </si>
  <si>
    <t>СМР, в т.ч. НДС 22%, руб</t>
  </si>
  <si>
    <t>Материал, оборудование, в т.ч. НДС  22%, руб.</t>
  </si>
  <si>
    <t>Грунт Церезит
Штукатурка цементно-песчаная, шпаклевка цементная Knauf</t>
  </si>
  <si>
    <t>4</t>
  </si>
  <si>
    <t>Д-1 ДСН Дп Прг Л Н У-дверной блок стальной наружный, двупольный, с порогом, левого открывания наружу, утепленный (приведенное сопротивление теплопередаче не менее 0,66 м2*0С/Вт), глухие створки  проем 1500х2200 створка 1 (рабочая) -900*1956, створка 2 - 440*1956 Окрашенная уплотнение в притворах, доводчик</t>
  </si>
  <si>
    <t>Д-2 ДСН Оп Прг Л Н У-дверной блок стальной наружный, однопольный, с порогом, левого открывания наружу, утепленный (приведенное сопротивление теплопередаче не менее 0,66 м2*0С/Вт), глухие створки проем 1350х2300 створка  -1130*2126 Окрашенная уплотнение в притворах, доводчик  EI60</t>
  </si>
  <si>
    <t>Противопожарные EI60</t>
  </si>
  <si>
    <t>Д-2* ДСН Оп Прг П Н У-дверной блок стальной наружный, однопольный, с порогом, правого открывания наружу, утепленный (приведенное сопротивление теплопередаче неменее 0,66 м2*0С/Вт), глухие створки проем 1350х2300 створка  -1130*2126 Окрашенная уплотнение в притворах, доводчик  EI60</t>
  </si>
  <si>
    <t>Д-3 ДСВ Дп Прг Л-дверной блок стальной внутренний,двупольный, с порогом, левого открывания, глухие створки  проем 1500х2200 створка 1 (рабочая) -900*2006,створка 2 - 440*2006 Окрашенная уплотнение в притворах, доводчик EI30</t>
  </si>
  <si>
    <t>Противопожарные EI30</t>
  </si>
  <si>
    <t>Д-3* ДСВ Дп Прг П-дверной блок стальной внутренний, двупольный, с порогом, правого открывания, глухие створки  проем 1500х2200 створка 1 (рабочая) -900*2006,створка 2 - 440*2006 Окрашенная уплотнение в притворах, доводчик EI30</t>
  </si>
  <si>
    <t>Д-4 ДСВ Дп Прг Л-дверной блок стальной внутренний, двупольный, с порогом, левого открывания, глухаие створки проем 1500х2200 створка 1 (рабочая) -900*2006,створка 2 - 440*2006 Окрашенная уплотнение в притворах, доводчик EI60</t>
  </si>
  <si>
    <t>Д-4* ДСВ Дп Прг П-дверной блок стальной внутренний, двупольный, с порогом, правого открывания, глухаие створки проем 1500х2200 створка 1 (рабочая) -900*2006,створка 2 - 440*2006 Окрашенная уплотнение в притворах, доводчик EI60</t>
  </si>
  <si>
    <t>Д-5 ДСВ Дп Прг Л-дверной блок стальной внутренний, двупольный, с порогом, левого открывания, глухаие створки проем 1500х2200 створка 1 (рабочая) -900*2006,створка 2 - 440*2006 Окрашенная уплотнение в притворах, доводчик EIS60</t>
  </si>
  <si>
    <t>Д-5* ДСВ Дп Прг П-дверной блок стальной внутренний, двупольный, с порогом, правого открывания, глухаие створки проем 1500х2200 створка 1 (рабочая) -900*2006,створка 2 - 440*2006 Окрашенная уплотнение в притворах, доводчик EIS60</t>
  </si>
  <si>
    <t>Д-6 ДСВ Оп Прг Л-дверной блок стальной внутренний, однопольный, с порогом, левого открывания, глухая створка проем 1350х2200 створка  -1130*1976 Окрашенная уплотнение в притворах, доводчик EI30</t>
  </si>
  <si>
    <t>Д-6* ДСВ Оп Прг П-дверной блок стальной внутренний, однопольный, с порогом, правого открывания, глухая створка проем 1350х2200 створка  -1130*1976 Окрашенная уплотнение в притворах, доводчик EI30</t>
  </si>
  <si>
    <t>Д-7 ДСВ Оп Прг Л-дверной блок стальной внутренний, однопольный, с порогом, левого открывания, глухая створка проем 1010х2200 створка  -870*2016 Окрашенная уплотнение в притворах, доводчик EI30</t>
  </si>
  <si>
    <t>обратить внимание на ширину проема и створки
Противопожарные EI30</t>
  </si>
  <si>
    <t>Д-7* ДСВ Оп Прг П-дверной блок стальной внутренний, однопольный, с порогом, правого открывания, глухая створка проем 1010х2200 створка  -870*2016 Окрашенная уплотнение в притворах, доводчик EI30</t>
  </si>
  <si>
    <t>Д-8 ДСВ Оп Прг Л-дверной блок стальной внутренний, однопольный, с порогом, левого открывания, глухая створка проем 1010х2250 створка  -870*1980 Окрашенная уплотнение в притворах, доводчик EI30</t>
  </si>
  <si>
    <t>Д-8* ДСВ Оп Прг П-дверной блок стальной внутренний, однопольный, с порогом, правого открывания, глухая створка проем 1010х2250 створка  -870*1980 Окрашенная уплотнение в притворах, доводчик EI30</t>
  </si>
  <si>
    <t>Д-9 ДСВ Оп Прг Л-дверной блок стальной внутренний, однопольный, с порогом, левого открывания, глухая створка проем 910х2200 створка  -770*2016 Окрашенная уплотнение в притворах, доводчик EI30</t>
  </si>
  <si>
    <t>Д-9* ДСВ Оп Прг П-дверной блок стальной внутренний, однопольный, с порогом, правого открывания, глухая створка проем 910х2200 створка  -770*2016 Окрашенная уплотнение в притворах, доводчик EI30</t>
  </si>
  <si>
    <t>Д-10 ДСВ Оп Прг Л-дверной блок стальной внутренний, однопольный, с порогом, левого открывания, глухая створка проем 910х2200 створка  -770*2016 Окрашенная уплотнение в притворах, доводчик</t>
  </si>
  <si>
    <t>Д-10* ДСВ Оп Прг П-дверной блок стальной внутренний, однопольный, с порогом, правого открывания, глухая створка проем 910х2200 створка  -770*2016 Окрашенная уплотнение в притворах, доводчик</t>
  </si>
  <si>
    <t>Д-12 ДСВ Оп Прг Л-дверной блок стальной внутренний, однопольный, с порогом, левого открывания, глухая створка проем 910х2250 створка -770*2016 уплотнение в
притворах, доводчик EI30</t>
  </si>
  <si>
    <t>Окраска по
дизайн-проекту</t>
  </si>
  <si>
    <t>Д-12* ДСВ Оп Прг П-дверной блок стальной внутренний, однопольный, с порогом, правого открывания, глухая створка проем 910х2250 створка -770*2016 уплотнение в
притворах, доводчик EI30</t>
  </si>
  <si>
    <t>Д-13 ДСВ Оп Прг Л У-дверной блок стальной внутренний, однопольный, с порогом, левого открывания, глухая створка, утепленный,  проем 910х2250 створка -770*1980 Окрашенная уплотнение в притворах, доводчик EI30</t>
  </si>
  <si>
    <t>Д-14 ДСВ Оп Прг П У-дверной блок стальной внутренний, однопольный, с порогом, правого открывания, глухая створка, утепленный,  проем 910х2250 створка -770*2016 Окрашенная уплотнение в притворах, доводчик EI30</t>
  </si>
  <si>
    <t>Д-15 ДДВ Оп Прг П-дверной блок деревянный внутренний, однопольный, с порогом, правого открывания, глухаястворка, для  помещений с влажным режимом, проем 810х2250 створка -670*2016 Окрашенная уплотнение в
притворах, доводчик</t>
  </si>
  <si>
    <t>Д-16 ДСН Оп Прг П В У-дверной блок стальной наружный, однопольный, с порогом, правого открывания внутрь,утепленный (приведенное сопротивление теплопередаче неменее 0,66 м2*0С/Вт), глухая створка, проем 850х2200 створка -710*2016 уплотнение в притворах, доводчик EIS60</t>
  </si>
  <si>
    <t>Окраска по
дизайн-проекту
Противопожарные EI60</t>
  </si>
  <si>
    <t>Д-19 ДСВ Оп Прг Л-дверной блок стальной внутренний, однопольный, с порогом, левого открывания, глухая створка, проем 1050х2200, створка -910*2016 уплотнение в
притворах, доводчик</t>
  </si>
  <si>
    <t>Д-19* ДСВ Оп Прг П-дверной блок стальной внутренний, однопольный, с порогом, правого открывания, глухая створка, проем 1050х2200, створка -910*2016 уплотнение в
притворах, доводчик</t>
  </si>
  <si>
    <t>Д-20 ДСВ Оп Прг П-дверной блок стальной внутренний,однопольный, с порогом, правого открывания, глухая створка, проем 850х2250, створка -710*2016, уплотнение в
притворах, доводчик, EIS60</t>
  </si>
  <si>
    <t>Д-21 ДСВ Дп-дверной блок стальной внутренний, двупольный, глухие створки, проем 1200х2050, створки - 530*1980, уплотнение в притворах, доводчик</t>
  </si>
  <si>
    <t>Д-24 ДСВ Оп Прг Л-дверной блок стальной внутренний, однопольный, с порогом, левого открывания, глухая створка, проем 1050х2250, створка -910*2016 уплотнение в
притворах, доводчик</t>
  </si>
  <si>
    <t xml:space="preserve">Окраска по
дизайн-проекту
</t>
  </si>
  <si>
    <t>Д-24* ДСВ Оп Прг П-дверной блок стальной внутренний, однопольный, с порогом, правого открывания, глухая створка, проем 1050х2250, створка -910*2016 уплотнение в
притворах, доводчик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</si>
  <si>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</si>
  <si>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</si>
  <si>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</si>
  <si>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</si>
  <si>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</si>
  <si>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</si>
  <si>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</si>
  <si>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</si>
  <si>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</si>
  <si>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</si>
  <si>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</si>
  <si>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</si>
  <si>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</si>
  <si>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</si>
  <si>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</si>
  <si>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</si>
  <si>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</si>
  <si>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</si>
  <si>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</si>
  <si>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</si>
  <si>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</si>
  <si>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</si>
  <si>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</si>
  <si>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</si>
  <si>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</si>
  <si>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</si>
  <si>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</si>
  <si>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</si>
  <si>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</si>
  <si>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</si>
  <si>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</si>
  <si>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 xml:space="preserve">Гараж тех пом </t>
  </si>
  <si>
    <t>Дверь из тех помещения в лифтовую</t>
  </si>
  <si>
    <t>Дверь из тамбура в С/У</t>
  </si>
  <si>
    <t>Дверь из тамбура в тех пом</t>
  </si>
  <si>
    <t>Дверь из тех пом в С/У</t>
  </si>
  <si>
    <t>Входная дверь в квартиру</t>
  </si>
  <si>
    <t>Дверь в тех пом</t>
  </si>
  <si>
    <t>Дверь из лифтовой на балкон</t>
  </si>
  <si>
    <t>Монтаж стальных дверей, в том числе</t>
  </si>
  <si>
    <t xml:space="preserve">Огрунтовывание поверхности стен в 2 слоя </t>
  </si>
  <si>
    <t>Бетон В25</t>
  </si>
  <si>
    <t>Арматура диаметр 10мм класс А500С</t>
  </si>
  <si>
    <t>тн</t>
  </si>
  <si>
    <t>профиль резиновый</t>
  </si>
  <si>
    <t>м.пог</t>
  </si>
  <si>
    <t>Нарезка усадочных швов с последущим заполнением резиновым профилем</t>
  </si>
  <si>
    <t>гр</t>
  </si>
  <si>
    <t>Устройство водоприемного лотка Gidrolica BGU DN101 100х158х157</t>
  </si>
  <si>
    <t>Водоприемный лоток Gidrolica BGU DN101 100х158х157</t>
  </si>
  <si>
    <t>2.5</t>
  </si>
  <si>
    <t>2.6</t>
  </si>
  <si>
    <t>Устройство обмазочной полимерцементной изоляции приямков и лотков</t>
  </si>
  <si>
    <t>обмазочная полимерцементная изоляция</t>
  </si>
  <si>
    <t>кг</t>
  </si>
  <si>
    <t>2.7</t>
  </si>
  <si>
    <t>Устройство металлических решеток на приямках и лотках с установкой закладных в тело бетонной стяжки</t>
  </si>
  <si>
    <t>металлические решетки с закладными</t>
  </si>
  <si>
    <t xml:space="preserve">Монтаж стальных дверей </t>
  </si>
  <si>
    <t>5</t>
  </si>
  <si>
    <t>Оборудование для безопаного движения в паркинге</t>
  </si>
  <si>
    <t>5.1</t>
  </si>
  <si>
    <t>Устройство зеркал</t>
  </si>
  <si>
    <t>Зеркало обзорное для помещений круглое d=900 мм</t>
  </si>
  <si>
    <t xml:space="preserve">Крепеж для зеркала настенный </t>
  </si>
  <si>
    <t>Крепеж для зеркала потолочный</t>
  </si>
  <si>
    <t>5.2</t>
  </si>
  <si>
    <t>Установка дорожных знаков</t>
  </si>
  <si>
    <t>Дорожный знак 3.13 Ограничение высоты
d=600 (в знаке значение 2,15 м)</t>
  </si>
  <si>
    <t>Дорожный знак 3.24 Ограничение
максимальной скорости d=600 (в знаке значение 10)</t>
  </si>
  <si>
    <t>Кронштейны под кондиционер (крепление знаков)</t>
  </si>
  <si>
    <t>5.3</t>
  </si>
  <si>
    <t>Установка светофора</t>
  </si>
  <si>
    <t>Светофор двухпозиционный</t>
  </si>
  <si>
    <t>5.4</t>
  </si>
  <si>
    <t>Установка ограничителя высоты</t>
  </si>
  <si>
    <t>Ограничитель высоты - подвесной
"Паркинг " L=2 м</t>
  </si>
  <si>
    <t>5.5</t>
  </si>
  <si>
    <t>Устройство предуперждающей ленты для обозначения краев всех выступающих элементов инженерных систем (трубы, шкафы, кондиционеры и т.д.), вертикальных и горизонтальных участков, находящихся ниже 2,15 м от пола паркинга</t>
  </si>
  <si>
    <t>Mehlhose - предупреждающие ленты b=100 (черно-желтая)</t>
  </si>
  <si>
    <t>5.6</t>
  </si>
  <si>
    <t xml:space="preserve">Устройство разметки парковочных мест, 99 шт. </t>
  </si>
  <si>
    <t>м.п.</t>
  </si>
  <si>
    <t>Специальная акриловая разметочная краска</t>
  </si>
  <si>
    <t>5.7</t>
  </si>
  <si>
    <t>Маркировка парковочных зон - цифры от 0 до 9 размером 250х380 мм, цвет белый</t>
  </si>
  <si>
    <t>Маркировка парковочных зон - разметка инвалидных мест</t>
  </si>
  <si>
    <t>5.8</t>
  </si>
  <si>
    <t>Установка дампферов для защиты углов колонн  и стен</t>
  </si>
  <si>
    <t>Дампфер угловой резиновый ДУ-8, 800х100х8 мм</t>
  </si>
  <si>
    <t>5.9</t>
  </si>
  <si>
    <t>Установка колесоотбойников</t>
  </si>
  <si>
    <t>Колесоотбойник цельный резиновый КР-1,83
1830х150х100 мм</t>
  </si>
  <si>
    <t>6</t>
  </si>
  <si>
    <t>Покрытие въезда в паркинг</t>
  </si>
  <si>
    <t>6.1</t>
  </si>
  <si>
    <t>6.2</t>
  </si>
  <si>
    <t>Покрытие поверхности праймером</t>
  </si>
  <si>
    <t>Праймер битумный</t>
  </si>
  <si>
    <t>6.3</t>
  </si>
  <si>
    <t>Обмазка поверхности битумом в 2 слоя</t>
  </si>
  <si>
    <t xml:space="preserve">Мастика битумная гидроизоляционная </t>
  </si>
  <si>
    <t>6.4</t>
  </si>
  <si>
    <t>Укладка утеплителя</t>
  </si>
  <si>
    <t>Утеплитель пеностекло γ=160 кг/м3 (из расчета толщины слоя 80 мм)</t>
  </si>
  <si>
    <t>6.5</t>
  </si>
  <si>
    <t>Утеплитель пеностекло γ=160 кг/м3 (из расчета толщины слоя 50 мм)</t>
  </si>
  <si>
    <t>6.6</t>
  </si>
  <si>
    <t>6.7</t>
  </si>
  <si>
    <t xml:space="preserve">Гидроизоляция Техноэласт МОСТ С </t>
  </si>
  <si>
    <t>6.8</t>
  </si>
  <si>
    <t>6.9</t>
  </si>
  <si>
    <t>рул</t>
  </si>
  <si>
    <t>Подготовка железобетонной поверхности для нанесения праймера</t>
  </si>
  <si>
    <t>Устройство гидроизоляции Техноэласт МОСТ С в 2 слоя, толщина каждого слоя 5,2 мм с заведением на стены на высоту 600мм</t>
  </si>
  <si>
    <t>Бетон В30</t>
  </si>
  <si>
    <t>Бучардирование поверхности бетонной плиты для обеспечения атгезии с бетонной стяжкой</t>
  </si>
  <si>
    <t>2.8</t>
  </si>
  <si>
    <t>Устройство бетонной стяжки В30 толщиной 150мм, армированной сеткой 200х200 А500С диаметр 10мм. Финишное покрытие метилметакрилатная смола с заполнением кварцевым песком. Толщина покрытия не менее 3мм</t>
  </si>
  <si>
    <t>Устройство бетонной стяжки В25 толщиной 100мм, армированной сеткой 200х200 А500С диаметр 10мм. Финишное покрытие - полимерное покрытие типа SikaFloor</t>
  </si>
  <si>
    <t>Условия выполнения работ</t>
  </si>
  <si>
    <t>Требование по ТЗ</t>
  </si>
  <si>
    <t>Условия/согласие подрядчика</t>
  </si>
  <si>
    <t>Начало работ:</t>
  </si>
  <si>
    <t>Начало работ с  даты подписания Договора и оплаты аванса или по гарантийному письму.</t>
  </si>
  <si>
    <t>Окончание работ, дата:</t>
  </si>
  <si>
    <t>предполагается полное согласие с условиями Заказчика</t>
  </si>
  <si>
    <t xml:space="preserve">АВАНС (при необходимости), 
не более 50% от стоимости материалов/оборудования, с пропорциональным вычетом при завершении работ и сдачи КС-2, КС-3.
Гарантийное удержание 5%. </t>
  </si>
  <si>
    <t>Гарантийный срок на результат выполненного Комплекса работ с момента сдачи объект в эксплуатацию:</t>
  </si>
  <si>
    <t>5 лет</t>
  </si>
  <si>
    <t>Количество работников, необходимых для производства работ по предмету тендера</t>
  </si>
  <si>
    <t>на усмотрение подрядчика</t>
  </si>
  <si>
    <t>СРО / Лицензия:</t>
  </si>
  <si>
    <t>документы должны быть действующими</t>
  </si>
  <si>
    <t>ЭДО:</t>
  </si>
  <si>
    <t>предоставление документов посредством электронного документооборота</t>
  </si>
  <si>
    <t>Сайт:</t>
  </si>
  <si>
    <t>действующий</t>
  </si>
  <si>
    <t xml:space="preserve">Опыт работы (Референц-лист): </t>
  </si>
  <si>
    <t>Не определено, но должно содержать: название объекта, вид работ (аналогичный только), размер/сумма договора и название Заказчика или ГП.  Приветствуются отдельное  предоставление отзывов.</t>
  </si>
  <si>
    <t>Согласие в случае победы заключить договор по форме Заказчика, с учётом всех приложений</t>
  </si>
  <si>
    <t>Предполагается полное согласие с условиями Заказчика. Является конкурентным преимуществом.</t>
  </si>
  <si>
    <t>Посещение объекта (рекомендовано):
Контактное лицо ответственного сотрудника на объекте строительства:</t>
  </si>
  <si>
    <t>ДА/НЕТ</t>
  </si>
  <si>
    <t>АККРЕДИТАЦИЯ (юридическая проверка КА)</t>
  </si>
  <si>
    <t>Обязательное требование:</t>
  </si>
  <si>
    <r>
      <rPr>
        <sz val="10"/>
        <rFont val="Calibri"/>
        <family val="2"/>
        <charset val="204"/>
        <scheme val="minor"/>
      </rPr>
      <t xml:space="preserve">Виды работ: 
</t>
    </r>
    <r>
      <rPr>
        <u/>
        <sz val="10"/>
        <rFont val="Calibri"/>
        <family val="2"/>
        <charset val="204"/>
        <scheme val="minor"/>
      </rPr>
      <t xml:space="preserve">Данные СБИС: </t>
    </r>
    <r>
      <rPr>
        <sz val="10"/>
        <rFont val="Calibri"/>
        <family val="2"/>
        <charset val="204"/>
        <scheme val="minor"/>
      </rPr>
      <t xml:space="preserve">
ЮЛ зарегистрировано 
штатная численность                                                                                                                                                                                                                                                                                Выручка за 2024 - руб., чистая прибыль руб.
Выручка за 2023 -  руб., чистая прибыль руб.
Выручка за 2022 -руб., чистая прибыль руб.
Суды -  (за все время)
Истец 
Ответчик: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</si>
</sst>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_₽_-;\-* #,##0.00\ _₽_-;_-* &quot;-&quot;??\ _₽_-;_-@_-"/>
    <numFmt numFmtId="165" formatCode="#,##0.00\ _₽"/>
    <numFmt numFmtId="166" formatCode="#,##0.00_ ;[Red]\-#,##0.00\ "/>
  </numFmts>
  <fonts count="23" x14ac:knownFonts="1">
    <font>
      <sz val="10"/>
      <color rgb="FF000000"/>
      <name val="Times New Roman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5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0">
    <xf numFmtId="0" fontId="0" fillId="0" borderId="0" xfId="0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top" shrinkToFi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top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top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left" vertical="top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left" vertical="top"/>
    </xf>
    <xf numFmtId="165" fontId="8" fillId="0" borderId="0" xfId="0" applyNumberFormat="1" applyFont="1" applyAlignment="1">
      <alignment horizontal="left" vertical="top"/>
    </xf>
    <xf numFmtId="165" fontId="9" fillId="0" borderId="1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49" fontId="10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right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right" vertical="center" wrapText="1"/>
    </xf>
    <xf numFmtId="44" fontId="10" fillId="0" borderId="1" xfId="1" applyFont="1" applyFill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165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left" vertical="center" wrapText="1"/>
    </xf>
    <xf numFmtId="165" fontId="10" fillId="4" borderId="1" xfId="0" applyNumberFormat="1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49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top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right" vertical="center" wrapText="1"/>
    </xf>
    <xf numFmtId="165" fontId="7" fillId="4" borderId="1" xfId="0" applyNumberFormat="1" applyFont="1" applyFill="1" applyBorder="1" applyAlignment="1">
      <alignment horizontal="right" vertical="center" wrapText="1"/>
    </xf>
    <xf numFmtId="165" fontId="1" fillId="4" borderId="1" xfId="0" applyNumberFormat="1" applyFont="1" applyFill="1" applyBorder="1" applyAlignment="1">
      <alignment horizontal="right" vertical="center" wrapText="1"/>
    </xf>
    <xf numFmtId="166" fontId="7" fillId="0" borderId="1" xfId="3" applyNumberFormat="1" applyFont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top" shrinkToFit="1"/>
    </xf>
    <xf numFmtId="2" fontId="9" fillId="2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right" vertical="top"/>
    </xf>
    <xf numFmtId="49" fontId="1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2" borderId="1" xfId="0" applyNumberFormat="1" applyFont="1" applyFill="1" applyBorder="1" applyAlignment="1">
      <alignment horizontal="center" vertical="center" shrinkToFit="1"/>
    </xf>
    <xf numFmtId="49" fontId="10" fillId="3" borderId="1" xfId="0" applyNumberFormat="1" applyFont="1" applyFill="1" applyBorder="1" applyAlignment="1">
      <alignment horizontal="center" vertical="center" shrinkToFit="1"/>
    </xf>
    <xf numFmtId="0" fontId="10" fillId="0" borderId="0" xfId="0" applyFont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righ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49" fontId="10" fillId="10" borderId="1" xfId="0" applyNumberFormat="1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 wrapText="1"/>
    </xf>
    <xf numFmtId="2" fontId="7" fillId="10" borderId="1" xfId="0" applyNumberFormat="1" applyFont="1" applyFill="1" applyBorder="1" applyAlignment="1">
      <alignment horizontal="right" vertical="center" wrapText="1"/>
    </xf>
    <xf numFmtId="0" fontId="10" fillId="10" borderId="1" xfId="0" applyFont="1" applyFill="1" applyBorder="1" applyAlignment="1">
      <alignment horizontal="left" vertical="center" wrapText="1"/>
    </xf>
    <xf numFmtId="0" fontId="0" fillId="10" borderId="0" xfId="0" applyFill="1" applyAlignment="1">
      <alignment horizontal="left" vertical="top"/>
    </xf>
    <xf numFmtId="0" fontId="8" fillId="10" borderId="0" xfId="0" applyFont="1" applyFill="1" applyAlignment="1">
      <alignment horizontal="left" vertical="top"/>
    </xf>
    <xf numFmtId="2" fontId="10" fillId="10" borderId="1" xfId="0" applyNumberFormat="1" applyFont="1" applyFill="1" applyBorder="1" applyAlignment="1">
      <alignment horizontal="right" vertical="center" wrapText="1"/>
    </xf>
    <xf numFmtId="0" fontId="9" fillId="1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9" fillId="11" borderId="1" xfId="3" applyNumberFormat="1" applyFont="1" applyFill="1" applyBorder="1" applyAlignment="1">
      <alignment horizontal="center" vertical="center" wrapText="1"/>
    </xf>
    <xf numFmtId="43" fontId="20" fillId="11" borderId="1" xfId="3" applyFont="1" applyFill="1" applyBorder="1" applyAlignment="1">
      <alignment vertical="center" wrapText="1"/>
    </xf>
    <xf numFmtId="43" fontId="20" fillId="11" borderId="1" xfId="3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43" fontId="21" fillId="11" borderId="1" xfId="3" applyFont="1" applyFill="1" applyBorder="1" applyAlignment="1">
      <alignment horizontal="center" vertical="center" wrapText="1"/>
    </xf>
    <xf numFmtId="0" fontId="19" fillId="11" borderId="1" xfId="0" applyFont="1" applyFill="1" applyBorder="1" applyAlignment="1">
      <alignment horizontal="center" vertical="center" wrapText="1"/>
    </xf>
  </cellXfs>
  <cellStyles count="4">
    <cellStyle name="Денежный" xfId="1" builtinId="4"/>
    <cellStyle name="Обычный" xfId="0" builtinId="0"/>
    <cellStyle name="Финансовый" xfId="3" builtinId="3"/>
    <cellStyle name="Финансовый 2" xfId="2" xr:uid="{00000000-0005-0000-0000-000003000000}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73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20665" y="7038975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73</xdr:row>
      <xdr:rowOff>0</xdr:rowOff>
    </xdr:from>
    <xdr:ext cx="91440" cy="0"/>
    <xdr:sp macro="" textlink="">
      <xdr:nvSpPr>
        <xdr:cNvPr id="4" name="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057519" y="43265912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119</xdr:row>
      <xdr:rowOff>0</xdr:rowOff>
    </xdr:from>
    <xdr:ext cx="91440" cy="0"/>
    <xdr:sp macro="" textlink="">
      <xdr:nvSpPr>
        <xdr:cNvPr id="5" name="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53050" y="5561838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3</xdr:col>
      <xdr:colOff>48490</xdr:colOff>
      <xdr:row>119</xdr:row>
      <xdr:rowOff>0</xdr:rowOff>
    </xdr:from>
    <xdr:ext cx="91440" cy="0"/>
    <xdr:sp macro="" textlink="">
      <xdr:nvSpPr>
        <xdr:cNvPr id="6" name="Shap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053050" y="5561838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48490</xdr:colOff>
      <xdr:row>51</xdr:row>
      <xdr:rowOff>0</xdr:rowOff>
    </xdr:from>
    <xdr:ext cx="91440" cy="0"/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0" y="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610095</xdr:colOff>
      <xdr:row>51</xdr:row>
      <xdr:rowOff>0</xdr:rowOff>
    </xdr:from>
    <xdr:ext cx="9144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924675" y="11239500"/>
          <a:ext cx="91440" cy="0"/>
        </a:xfrm>
        <a:custGeom>
          <a:avLst/>
          <a:gdLst/>
          <a:ahLst/>
          <a:cxnLst/>
          <a:rect l="0" t="0" r="0" b="0"/>
          <a:pathLst>
            <a:path w="91440">
              <a:moveTo>
                <a:pt x="0" y="0"/>
              </a:moveTo>
              <a:lnTo>
                <a:pt x="91440" y="0"/>
              </a:lnTo>
            </a:path>
          </a:pathLst>
        </a:custGeom>
        <a:ln w="5760">
          <a:solidFill>
            <a:srgbClr val="FE000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view="pageBreakPreview" topLeftCell="A4" zoomScale="85" zoomScaleNormal="40" zoomScaleSheetLayoutView="85" workbookViewId="0">
      <pane xSplit="4" ySplit="12" topLeftCell="E124" activePane="bottomRight" state="frozen"/>
      <selection activeCell="A4" sqref="A4"/>
      <selection pane="topRight" activeCell="E4" sqref="E4"/>
      <selection pane="bottomLeft" activeCell="A7" sqref="A7"/>
      <selection pane="bottomRight" activeCell="L134" sqref="L134"/>
    </sheetView>
  </sheetViews>
  <sheetFormatPr defaultRowHeight="15.75" x14ac:dyDescent="0.2"/>
  <cols>
    <col min="1" max="1" width="8.5" style="91" bestFit="1" customWidth="1"/>
    <col min="2" max="2" width="62.6640625" customWidth="1"/>
    <col min="3" max="3" width="16.5" style="20" bestFit="1" customWidth="1"/>
    <col min="4" max="4" width="16.6640625" style="21" customWidth="1"/>
    <col min="5" max="8" width="17.83203125" customWidth="1"/>
    <col min="9" max="9" width="20.1640625" customWidth="1"/>
    <col min="10" max="11" width="21.33203125" hidden="1" customWidth="1"/>
    <col min="12" max="12" width="32.5" customWidth="1"/>
    <col min="13" max="13" width="44" customWidth="1"/>
  </cols>
  <sheetData>
    <row r="1" spans="1:14" ht="17.25" customHeight="1" x14ac:dyDescent="0.2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6.5" customHeight="1" x14ac:dyDescent="0.2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ht="38.25" customHeight="1" x14ac:dyDescent="0.2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8"/>
    </row>
    <row r="4" spans="1:14" ht="14.25" customHeight="1" x14ac:dyDescent="0.2">
      <c r="A4" s="92"/>
      <c r="B4" s="45"/>
      <c r="C4" s="45"/>
      <c r="D4" s="84"/>
      <c r="E4" s="45"/>
      <c r="F4" s="45"/>
      <c r="G4" s="45"/>
      <c r="H4" s="45"/>
      <c r="I4" s="45"/>
      <c r="J4" s="45"/>
      <c r="K4" s="45"/>
      <c r="L4" s="45"/>
    </row>
    <row r="5" spans="1:14" ht="14.25" customHeight="1" x14ac:dyDescent="0.2">
      <c r="A5" s="92"/>
      <c r="B5" s="45"/>
      <c r="C5" s="45"/>
      <c r="D5" s="84"/>
      <c r="E5" s="45"/>
      <c r="F5" s="45"/>
      <c r="G5" s="45"/>
      <c r="H5" s="45"/>
      <c r="I5" s="45"/>
      <c r="J5" s="45"/>
      <c r="K5" s="45"/>
      <c r="L5" s="45"/>
    </row>
    <row r="6" spans="1:14" ht="14.25" customHeight="1" x14ac:dyDescent="0.2">
      <c r="A6" s="92"/>
      <c r="B6" s="45"/>
      <c r="C6" s="45"/>
      <c r="D6" s="84"/>
      <c r="E6" s="45"/>
      <c r="F6" s="45"/>
      <c r="G6" s="45"/>
      <c r="H6" s="45"/>
      <c r="I6" s="45"/>
      <c r="J6" s="45"/>
      <c r="K6" s="45"/>
      <c r="L6" s="45"/>
    </row>
    <row r="7" spans="1:14" ht="14.25" customHeight="1" x14ac:dyDescent="0.2">
      <c r="A7" s="92"/>
      <c r="B7" s="45"/>
      <c r="C7" s="45"/>
      <c r="D7" s="84"/>
      <c r="E7" s="45"/>
      <c r="F7" s="45"/>
      <c r="G7" s="45"/>
      <c r="H7" s="45"/>
      <c r="I7" s="45"/>
      <c r="J7" s="45"/>
      <c r="K7" s="45"/>
      <c r="L7" s="45"/>
    </row>
    <row r="8" spans="1:14" ht="14.25" customHeight="1" x14ac:dyDescent="0.2">
      <c r="A8" s="92"/>
      <c r="B8" s="1"/>
      <c r="C8" s="1"/>
      <c r="D8" s="84"/>
      <c r="E8" s="1"/>
      <c r="F8" s="1"/>
      <c r="G8" s="1"/>
      <c r="H8" s="1"/>
      <c r="I8" s="1"/>
      <c r="J8" s="1"/>
      <c r="K8" s="1"/>
      <c r="L8" s="1"/>
    </row>
    <row r="9" spans="1:14" ht="18" customHeight="1" x14ac:dyDescent="0.2">
      <c r="A9" s="115" t="s">
        <v>16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</row>
    <row r="10" spans="1:14" ht="16.5" customHeight="1" x14ac:dyDescent="0.2">
      <c r="A10" s="115" t="s">
        <v>79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</row>
    <row r="11" spans="1:14" ht="30" customHeight="1" x14ac:dyDescent="0.2">
      <c r="A11" s="115" t="s">
        <v>17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</row>
    <row r="12" spans="1:14" ht="12.75" customHeight="1" x14ac:dyDescent="0.2">
      <c r="A12" s="93"/>
      <c r="B12" s="2"/>
      <c r="C12" s="2"/>
      <c r="D12" s="85"/>
      <c r="E12" s="2"/>
      <c r="F12" s="2"/>
      <c r="G12" s="2"/>
      <c r="H12" s="2"/>
      <c r="I12" s="2"/>
      <c r="J12" s="2"/>
      <c r="K12" s="2"/>
      <c r="L12" s="1"/>
    </row>
    <row r="13" spans="1:14" ht="30" customHeight="1" x14ac:dyDescent="0.2">
      <c r="A13" s="122" t="s">
        <v>0</v>
      </c>
      <c r="B13" s="121" t="s">
        <v>3</v>
      </c>
      <c r="C13" s="121" t="s">
        <v>1</v>
      </c>
      <c r="D13" s="123" t="s">
        <v>2</v>
      </c>
      <c r="E13" s="121" t="s">
        <v>89</v>
      </c>
      <c r="F13" s="121"/>
      <c r="G13" s="121" t="s">
        <v>88</v>
      </c>
      <c r="H13" s="121"/>
      <c r="I13" s="121" t="s">
        <v>87</v>
      </c>
      <c r="J13" s="121" t="s">
        <v>10</v>
      </c>
      <c r="K13" s="121"/>
      <c r="L13" s="119" t="s">
        <v>6</v>
      </c>
      <c r="M13" s="119" t="s">
        <v>77</v>
      </c>
    </row>
    <row r="14" spans="1:14" ht="30" customHeight="1" x14ac:dyDescent="0.2">
      <c r="A14" s="122"/>
      <c r="B14" s="121"/>
      <c r="C14" s="121"/>
      <c r="D14" s="123"/>
      <c r="E14" s="4" t="s">
        <v>5</v>
      </c>
      <c r="F14" s="4" t="s">
        <v>7</v>
      </c>
      <c r="G14" s="4" t="s">
        <v>5</v>
      </c>
      <c r="H14" s="4" t="s">
        <v>7</v>
      </c>
      <c r="I14" s="121"/>
      <c r="J14" s="4" t="s">
        <v>11</v>
      </c>
      <c r="K14" s="4" t="s">
        <v>12</v>
      </c>
      <c r="L14" s="120"/>
      <c r="M14" s="120"/>
    </row>
    <row r="15" spans="1:14" x14ac:dyDescent="0.2">
      <c r="A15" s="94">
        <v>1</v>
      </c>
      <c r="B15" s="6">
        <v>2</v>
      </c>
      <c r="C15" s="5">
        <v>3</v>
      </c>
      <c r="D15" s="8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7"/>
      <c r="K15" s="7"/>
      <c r="L15" s="7"/>
    </row>
    <row r="16" spans="1:14" s="9" customFormat="1" ht="47.25" x14ac:dyDescent="0.2">
      <c r="A16" s="95"/>
      <c r="B16" s="43" t="s">
        <v>78</v>
      </c>
      <c r="C16" s="44"/>
      <c r="D16" s="87"/>
      <c r="E16" s="44"/>
      <c r="F16" s="44"/>
      <c r="G16" s="44"/>
      <c r="H16" s="44"/>
      <c r="I16" s="44"/>
      <c r="J16" s="44"/>
      <c r="K16" s="44"/>
      <c r="L16" s="44"/>
      <c r="M16" s="97" t="s">
        <v>90</v>
      </c>
      <c r="N16"/>
    </row>
    <row r="17" spans="1:14" s="51" customFormat="1" x14ac:dyDescent="0.2">
      <c r="A17" s="96">
        <v>1</v>
      </c>
      <c r="B17" s="48" t="s">
        <v>80</v>
      </c>
      <c r="C17" s="49"/>
      <c r="D17" s="88"/>
      <c r="E17" s="49"/>
      <c r="F17" s="56">
        <f>SUM(F18:F20)</f>
        <v>0</v>
      </c>
      <c r="G17" s="57"/>
      <c r="H17" s="56">
        <f>SUM(H18:H20)</f>
        <v>0</v>
      </c>
      <c r="I17" s="56">
        <f>SUM(I18:I20)</f>
        <v>0</v>
      </c>
      <c r="J17" s="49"/>
      <c r="K17" s="49"/>
      <c r="L17" s="49"/>
      <c r="M17" s="50"/>
      <c r="N17" s="50"/>
    </row>
    <row r="18" spans="1:14" s="64" customFormat="1" x14ac:dyDescent="0.2">
      <c r="A18" s="52" t="s">
        <v>64</v>
      </c>
      <c r="B18" s="53" t="s">
        <v>81</v>
      </c>
      <c r="C18" s="46" t="s">
        <v>21</v>
      </c>
      <c r="D18" s="55">
        <f>(1282.79+65.18)*1.05</f>
        <v>1415.37</v>
      </c>
      <c r="E18" s="46"/>
      <c r="F18" s="46"/>
      <c r="G18" s="46"/>
      <c r="H18" s="66">
        <f>G18*D18</f>
        <v>0</v>
      </c>
      <c r="I18" s="66">
        <f t="shared" ref="I18:I41" si="0">H18+F18</f>
        <v>0</v>
      </c>
      <c r="J18" s="46"/>
      <c r="K18" s="46"/>
      <c r="L18" s="46"/>
      <c r="M18" s="47"/>
      <c r="N18" s="47"/>
    </row>
    <row r="19" spans="1:14" s="64" customFormat="1" x14ac:dyDescent="0.2">
      <c r="A19" s="52" t="s">
        <v>65</v>
      </c>
      <c r="B19" s="53" t="s">
        <v>169</v>
      </c>
      <c r="C19" s="46" t="s">
        <v>21</v>
      </c>
      <c r="D19" s="55">
        <f>(203.22+1282.79+65.18)*1.05</f>
        <v>1628.75</v>
      </c>
      <c r="E19" s="46"/>
      <c r="F19" s="46"/>
      <c r="G19" s="46"/>
      <c r="H19" s="66">
        <f>G19*D19</f>
        <v>0</v>
      </c>
      <c r="I19" s="66">
        <f t="shared" si="0"/>
        <v>0</v>
      </c>
      <c r="J19" s="46"/>
      <c r="K19" s="46"/>
      <c r="L19" s="46"/>
      <c r="M19" s="47"/>
      <c r="N19" s="47"/>
    </row>
    <row r="20" spans="1:14" s="64" customFormat="1" x14ac:dyDescent="0.2">
      <c r="A20" s="52"/>
      <c r="B20" s="54" t="s">
        <v>76</v>
      </c>
      <c r="C20" s="46" t="s">
        <v>71</v>
      </c>
      <c r="D20" s="55">
        <f>D19*0.2</f>
        <v>325.75</v>
      </c>
      <c r="E20" s="46"/>
      <c r="F20" s="66">
        <f t="shared" ref="F20" si="1">E20*D20</f>
        <v>0</v>
      </c>
      <c r="G20" s="59"/>
      <c r="H20" s="66"/>
      <c r="I20" s="66">
        <f t="shared" si="0"/>
        <v>0</v>
      </c>
      <c r="J20" s="46"/>
      <c r="K20" s="46"/>
      <c r="L20" s="46"/>
      <c r="M20" s="47"/>
      <c r="N20" s="47"/>
    </row>
    <row r="21" spans="1:14" s="51" customFormat="1" x14ac:dyDescent="0.2">
      <c r="A21" s="96">
        <v>2</v>
      </c>
      <c r="B21" s="48" t="s">
        <v>82</v>
      </c>
      <c r="C21" s="49"/>
      <c r="D21" s="88"/>
      <c r="E21" s="49"/>
      <c r="F21" s="56">
        <f>SUM(F23:F32)</f>
        <v>0</v>
      </c>
      <c r="G21" s="57"/>
      <c r="H21" s="56">
        <f>SUM(H23:H32)</f>
        <v>0</v>
      </c>
      <c r="I21" s="56">
        <f>SUM(I23:I32)</f>
        <v>0</v>
      </c>
      <c r="J21" s="49"/>
      <c r="K21" s="49"/>
      <c r="L21" s="49"/>
      <c r="M21" s="50"/>
      <c r="N21" s="50"/>
    </row>
    <row r="22" spans="1:14" s="112" customFormat="1" ht="31.5" x14ac:dyDescent="0.2">
      <c r="A22" s="106" t="s">
        <v>66</v>
      </c>
      <c r="B22" s="114" t="s">
        <v>245</v>
      </c>
      <c r="C22" s="107" t="s">
        <v>21</v>
      </c>
      <c r="D22" s="108">
        <v>2936.82</v>
      </c>
      <c r="E22" s="107"/>
      <c r="F22" s="109"/>
      <c r="G22" s="110"/>
      <c r="H22" s="113">
        <f>G22*D22</f>
        <v>0</v>
      </c>
      <c r="I22" s="113">
        <f t="shared" ref="I22:I28" si="2">H22+F22</f>
        <v>0</v>
      </c>
      <c r="J22" s="107"/>
      <c r="K22" s="107"/>
      <c r="L22" s="107"/>
      <c r="M22" s="111"/>
      <c r="N22" s="111"/>
    </row>
    <row r="23" spans="1:14" s="64" customFormat="1" ht="31.5" x14ac:dyDescent="0.2">
      <c r="A23" s="52" t="s">
        <v>67</v>
      </c>
      <c r="B23" s="53" t="s">
        <v>83</v>
      </c>
      <c r="C23" s="46" t="s">
        <v>21</v>
      </c>
      <c r="D23" s="60">
        <f>2845.76*1.032</f>
        <v>2936.82</v>
      </c>
      <c r="E23" s="46"/>
      <c r="F23" s="46"/>
      <c r="G23" s="46"/>
      <c r="H23" s="66">
        <f>G23*D23</f>
        <v>0</v>
      </c>
      <c r="I23" s="66">
        <f t="shared" si="2"/>
        <v>0</v>
      </c>
      <c r="J23" s="46"/>
      <c r="K23" s="46"/>
      <c r="L23" s="46"/>
      <c r="M23" s="47"/>
      <c r="N23" s="47"/>
    </row>
    <row r="24" spans="1:14" s="64" customFormat="1" x14ac:dyDescent="0.2">
      <c r="A24" s="52"/>
      <c r="B24" s="54" t="s">
        <v>76</v>
      </c>
      <c r="C24" s="46" t="s">
        <v>71</v>
      </c>
      <c r="D24" s="55">
        <f>D23*0.2</f>
        <v>587.36</v>
      </c>
      <c r="E24" s="46"/>
      <c r="F24" s="66">
        <f>E24*D24</f>
        <v>0</v>
      </c>
      <c r="G24" s="59"/>
      <c r="H24" s="66"/>
      <c r="I24" s="66">
        <f t="shared" si="2"/>
        <v>0</v>
      </c>
      <c r="J24" s="46"/>
      <c r="K24" s="46"/>
      <c r="L24" s="46"/>
      <c r="M24" s="47"/>
      <c r="N24" s="47"/>
    </row>
    <row r="25" spans="1:14" s="64" customFormat="1" ht="63" x14ac:dyDescent="0.2">
      <c r="A25" s="52" t="s">
        <v>68</v>
      </c>
      <c r="B25" s="83" t="s">
        <v>248</v>
      </c>
      <c r="C25" s="65" t="s">
        <v>21</v>
      </c>
      <c r="D25" s="60">
        <f>2845.76*1.032</f>
        <v>2936.82</v>
      </c>
      <c r="E25" s="46"/>
      <c r="F25" s="46"/>
      <c r="G25" s="46"/>
      <c r="H25" s="58">
        <f>G25*D25</f>
        <v>0</v>
      </c>
      <c r="I25" s="58">
        <f t="shared" si="2"/>
        <v>0</v>
      </c>
      <c r="J25" s="46"/>
      <c r="K25" s="46"/>
      <c r="L25" s="46"/>
      <c r="M25" s="47"/>
      <c r="N25" s="47"/>
    </row>
    <row r="26" spans="1:14" s="64" customFormat="1" x14ac:dyDescent="0.2">
      <c r="A26" s="52"/>
      <c r="B26" s="54" t="s">
        <v>170</v>
      </c>
      <c r="C26" s="65" t="s">
        <v>73</v>
      </c>
      <c r="D26" s="60">
        <f>D25*0.1*1.015</f>
        <v>298.08999999999997</v>
      </c>
      <c r="E26" s="46"/>
      <c r="F26" s="66">
        <f>E26*D26</f>
        <v>0</v>
      </c>
      <c r="G26" s="59"/>
      <c r="H26" s="66"/>
      <c r="I26" s="58">
        <f t="shared" si="2"/>
        <v>0</v>
      </c>
      <c r="J26" s="46"/>
      <c r="K26" s="46"/>
      <c r="L26" s="46"/>
      <c r="M26" s="47"/>
      <c r="N26" s="47"/>
    </row>
    <row r="27" spans="1:14" s="64" customFormat="1" x14ac:dyDescent="0.2">
      <c r="A27" s="52"/>
      <c r="B27" s="54" t="s">
        <v>171</v>
      </c>
      <c r="C27" s="65" t="s">
        <v>172</v>
      </c>
      <c r="D27" s="60"/>
      <c r="E27" s="46"/>
      <c r="F27" s="66">
        <f t="shared" ref="F27" si="3">E27*D27</f>
        <v>0</v>
      </c>
      <c r="G27" s="59"/>
      <c r="H27" s="66"/>
      <c r="I27" s="58">
        <f t="shared" si="2"/>
        <v>0</v>
      </c>
      <c r="J27" s="46"/>
      <c r="K27" s="46"/>
      <c r="L27" s="46"/>
      <c r="M27" s="47"/>
      <c r="N27" s="47"/>
    </row>
    <row r="28" spans="1:14" s="64" customFormat="1" x14ac:dyDescent="0.2">
      <c r="A28" s="52" t="s">
        <v>69</v>
      </c>
      <c r="B28" s="89" t="s">
        <v>84</v>
      </c>
      <c r="C28" s="46" t="s">
        <v>21</v>
      </c>
      <c r="D28" s="60">
        <f>2845.76*1.032</f>
        <v>2936.82</v>
      </c>
      <c r="E28" s="46"/>
      <c r="F28" s="46"/>
      <c r="G28" s="46"/>
      <c r="H28" s="66">
        <f>G28*D28</f>
        <v>0</v>
      </c>
      <c r="I28" s="66">
        <f t="shared" si="2"/>
        <v>0</v>
      </c>
      <c r="J28" s="46"/>
      <c r="K28" s="46"/>
      <c r="L28" s="46"/>
      <c r="M28" s="47"/>
      <c r="N28" s="47"/>
    </row>
    <row r="29" spans="1:14" s="64" customFormat="1" x14ac:dyDescent="0.2">
      <c r="A29" s="52"/>
      <c r="B29" s="90" t="s">
        <v>74</v>
      </c>
      <c r="C29" s="46" t="s">
        <v>21</v>
      </c>
      <c r="D29" s="60">
        <f>D28</f>
        <v>2936.82</v>
      </c>
      <c r="E29" s="46"/>
      <c r="F29" s="66">
        <f>E29*D29</f>
        <v>0</v>
      </c>
      <c r="G29" s="59"/>
      <c r="H29" s="66"/>
      <c r="I29" s="66">
        <f t="shared" ref="I29" si="4">H29+F29</f>
        <v>0</v>
      </c>
      <c r="J29" s="46"/>
      <c r="K29" s="46"/>
      <c r="L29" s="46"/>
      <c r="M29" s="47"/>
      <c r="N29" s="47"/>
    </row>
    <row r="30" spans="1:14" s="64" customFormat="1" x14ac:dyDescent="0.2">
      <c r="A30" s="52"/>
      <c r="B30" s="90" t="s">
        <v>75</v>
      </c>
      <c r="C30" s="46" t="s">
        <v>21</v>
      </c>
      <c r="D30" s="60">
        <f>D28</f>
        <v>2936.82</v>
      </c>
      <c r="E30" s="46"/>
      <c r="F30" s="46"/>
      <c r="G30" s="46"/>
      <c r="H30" s="58">
        <f>G30*D30</f>
        <v>0</v>
      </c>
      <c r="I30" s="58">
        <f>H30+F30</f>
        <v>0</v>
      </c>
      <c r="J30" s="46"/>
      <c r="K30" s="46"/>
      <c r="L30" s="46"/>
      <c r="M30" s="47"/>
      <c r="N30" s="47"/>
    </row>
    <row r="31" spans="1:14" s="61" customFormat="1" ht="31.5" x14ac:dyDescent="0.2">
      <c r="A31" s="10" t="s">
        <v>179</v>
      </c>
      <c r="B31" s="83" t="s">
        <v>175</v>
      </c>
      <c r="C31" s="102" t="s">
        <v>174</v>
      </c>
      <c r="D31" s="60">
        <v>300</v>
      </c>
      <c r="E31" s="62"/>
      <c r="F31" s="46"/>
      <c r="G31" s="46"/>
      <c r="H31" s="58">
        <f>G31*D31</f>
        <v>0</v>
      </c>
      <c r="I31" s="58">
        <f>H31+F31</f>
        <v>0</v>
      </c>
      <c r="J31" s="63"/>
      <c r="K31" s="63"/>
      <c r="L31" s="63"/>
    </row>
    <row r="32" spans="1:14" s="61" customFormat="1" x14ac:dyDescent="0.2">
      <c r="A32" s="10"/>
      <c r="B32" s="90" t="s">
        <v>173</v>
      </c>
      <c r="C32" s="102" t="s">
        <v>174</v>
      </c>
      <c r="D32" s="60">
        <f>D31*1.1</f>
        <v>330</v>
      </c>
      <c r="E32" s="62"/>
      <c r="F32" s="58">
        <f>E32*D32</f>
        <v>0</v>
      </c>
      <c r="G32" s="59"/>
      <c r="H32" s="58"/>
      <c r="I32" s="58">
        <f t="shared" ref="I32:I38" si="5">H32+F32</f>
        <v>0</v>
      </c>
      <c r="J32" s="63"/>
      <c r="K32" s="63"/>
      <c r="L32" s="63"/>
    </row>
    <row r="33" spans="1:14" s="61" customFormat="1" ht="31.5" x14ac:dyDescent="0.2">
      <c r="A33" s="10" t="s">
        <v>180</v>
      </c>
      <c r="B33" s="53" t="s">
        <v>177</v>
      </c>
      <c r="C33" s="102" t="s">
        <v>174</v>
      </c>
      <c r="D33" s="60">
        <v>8</v>
      </c>
      <c r="E33" s="62"/>
      <c r="F33" s="58"/>
      <c r="G33" s="59"/>
      <c r="H33" s="58">
        <f>G33*D33</f>
        <v>0</v>
      </c>
      <c r="I33" s="58">
        <f t="shared" si="5"/>
        <v>0</v>
      </c>
      <c r="J33" s="63"/>
      <c r="K33" s="63"/>
      <c r="L33" s="63"/>
    </row>
    <row r="34" spans="1:14" s="61" customFormat="1" x14ac:dyDescent="0.2">
      <c r="A34" s="10"/>
      <c r="B34" s="90" t="s">
        <v>178</v>
      </c>
      <c r="C34" s="102" t="s">
        <v>174</v>
      </c>
      <c r="D34" s="60">
        <v>8</v>
      </c>
      <c r="E34" s="62"/>
      <c r="F34" s="58">
        <f>E34*D34</f>
        <v>0</v>
      </c>
      <c r="G34" s="59"/>
      <c r="H34" s="58"/>
      <c r="I34" s="58">
        <f t="shared" si="5"/>
        <v>0</v>
      </c>
      <c r="J34" s="63"/>
      <c r="K34" s="63"/>
      <c r="L34" s="63"/>
    </row>
    <row r="35" spans="1:14" s="61" customFormat="1" ht="31.5" x14ac:dyDescent="0.2">
      <c r="A35" s="10" t="s">
        <v>184</v>
      </c>
      <c r="B35" s="53" t="s">
        <v>181</v>
      </c>
      <c r="C35" s="102" t="s">
        <v>21</v>
      </c>
      <c r="D35" s="60">
        <v>1.5</v>
      </c>
      <c r="E35" s="62"/>
      <c r="F35" s="58"/>
      <c r="G35" s="59"/>
      <c r="H35" s="58">
        <f>G35*D35</f>
        <v>0</v>
      </c>
      <c r="I35" s="58">
        <f t="shared" si="5"/>
        <v>0</v>
      </c>
      <c r="J35" s="63"/>
      <c r="K35" s="63"/>
      <c r="L35" s="63"/>
    </row>
    <row r="36" spans="1:14" s="61" customFormat="1" x14ac:dyDescent="0.2">
      <c r="A36" s="10"/>
      <c r="B36" s="90" t="s">
        <v>182</v>
      </c>
      <c r="C36" s="102" t="s">
        <v>183</v>
      </c>
      <c r="D36" s="60"/>
      <c r="E36" s="62"/>
      <c r="F36" s="58">
        <f>E36*D36</f>
        <v>0</v>
      </c>
      <c r="G36" s="59"/>
      <c r="H36" s="58"/>
      <c r="I36" s="58">
        <f t="shared" si="5"/>
        <v>0</v>
      </c>
      <c r="J36" s="63"/>
      <c r="K36" s="63"/>
      <c r="L36" s="63"/>
    </row>
    <row r="37" spans="1:14" s="61" customFormat="1" ht="47.25" x14ac:dyDescent="0.2">
      <c r="A37" s="10" t="s">
        <v>246</v>
      </c>
      <c r="B37" s="53" t="s">
        <v>185</v>
      </c>
      <c r="C37" s="102" t="s">
        <v>183</v>
      </c>
      <c r="D37" s="60">
        <v>50</v>
      </c>
      <c r="E37" s="62"/>
      <c r="F37" s="58"/>
      <c r="G37" s="59"/>
      <c r="H37" s="58">
        <f>G37*D37</f>
        <v>0</v>
      </c>
      <c r="I37" s="58">
        <f t="shared" si="5"/>
        <v>0</v>
      </c>
      <c r="J37" s="63"/>
      <c r="K37" s="63"/>
      <c r="L37" s="63"/>
    </row>
    <row r="38" spans="1:14" s="61" customFormat="1" x14ac:dyDescent="0.2">
      <c r="A38" s="10"/>
      <c r="B38" s="90" t="s">
        <v>186</v>
      </c>
      <c r="C38" s="102" t="s">
        <v>183</v>
      </c>
      <c r="D38" s="60">
        <v>50</v>
      </c>
      <c r="E38" s="62"/>
      <c r="F38" s="58">
        <f>E38*D38</f>
        <v>0</v>
      </c>
      <c r="G38" s="59"/>
      <c r="H38" s="58"/>
      <c r="I38" s="58">
        <f t="shared" si="5"/>
        <v>0</v>
      </c>
      <c r="J38" s="63"/>
      <c r="K38" s="63"/>
      <c r="L38" s="63"/>
    </row>
    <row r="39" spans="1:14" s="51" customFormat="1" x14ac:dyDescent="0.2">
      <c r="A39" s="96">
        <v>3</v>
      </c>
      <c r="B39" s="48" t="s">
        <v>85</v>
      </c>
      <c r="C39" s="49"/>
      <c r="D39" s="88"/>
      <c r="E39" s="49"/>
      <c r="F39" s="56">
        <f>SUM(F40:F41)</f>
        <v>0</v>
      </c>
      <c r="G39" s="57"/>
      <c r="H39" s="56">
        <f>SUM(H40:H41)</f>
        <v>0</v>
      </c>
      <c r="I39" s="56">
        <f>SUM(I40:I41)</f>
        <v>0</v>
      </c>
      <c r="J39" s="49"/>
      <c r="K39" s="49"/>
      <c r="L39" s="49"/>
      <c r="M39" s="50"/>
      <c r="N39" s="50"/>
    </row>
    <row r="40" spans="1:14" s="64" customFormat="1" x14ac:dyDescent="0.2">
      <c r="A40" s="52" t="s">
        <v>70</v>
      </c>
      <c r="B40" s="53" t="s">
        <v>169</v>
      </c>
      <c r="C40" s="46" t="s">
        <v>21</v>
      </c>
      <c r="D40" s="55">
        <f>2827.8*1.03</f>
        <v>2912.63</v>
      </c>
      <c r="E40" s="46"/>
      <c r="F40" s="46"/>
      <c r="G40" s="46"/>
      <c r="H40" s="58">
        <f>G40*D40</f>
        <v>0</v>
      </c>
      <c r="I40" s="58">
        <f t="shared" si="0"/>
        <v>0</v>
      </c>
      <c r="J40" s="46"/>
      <c r="K40" s="46"/>
      <c r="L40" s="46"/>
      <c r="M40" s="47"/>
      <c r="N40" s="47"/>
    </row>
    <row r="41" spans="1:14" s="64" customFormat="1" x14ac:dyDescent="0.2">
      <c r="A41" s="52"/>
      <c r="B41" s="54" t="s">
        <v>76</v>
      </c>
      <c r="C41" s="46" t="s">
        <v>176</v>
      </c>
      <c r="D41" s="55">
        <f>D40/10</f>
        <v>291.26</v>
      </c>
      <c r="E41" s="46"/>
      <c r="F41" s="58">
        <f t="shared" ref="F41" si="6">E41*D41</f>
        <v>0</v>
      </c>
      <c r="G41" s="59"/>
      <c r="H41" s="58"/>
      <c r="I41" s="58">
        <f t="shared" si="0"/>
        <v>0</v>
      </c>
      <c r="J41" s="46"/>
      <c r="K41" s="46"/>
      <c r="L41" s="46"/>
      <c r="M41" s="47"/>
      <c r="N41" s="47"/>
    </row>
    <row r="42" spans="1:14" s="51" customFormat="1" x14ac:dyDescent="0.2">
      <c r="A42" s="96" t="s">
        <v>91</v>
      </c>
      <c r="B42" s="48" t="s">
        <v>168</v>
      </c>
      <c r="C42" s="49"/>
      <c r="D42" s="88"/>
      <c r="E42" s="49"/>
      <c r="F42" s="56">
        <f>SUM(F43:F73)</f>
        <v>0</v>
      </c>
      <c r="G42" s="57"/>
      <c r="H42" s="56">
        <f t="shared" ref="H42:I43" si="7">SUM(H43:H73)</f>
        <v>0</v>
      </c>
      <c r="I42" s="56">
        <f t="shared" si="7"/>
        <v>0</v>
      </c>
      <c r="J42" s="49"/>
      <c r="K42" s="49"/>
      <c r="L42" s="49"/>
      <c r="M42" s="50"/>
      <c r="N42" s="50"/>
    </row>
    <row r="43" spans="1:14" s="64" customFormat="1" x14ac:dyDescent="0.2">
      <c r="A43" s="96" t="s">
        <v>91</v>
      </c>
      <c r="B43" s="48" t="s">
        <v>187</v>
      </c>
      <c r="C43" s="49"/>
      <c r="D43" s="88"/>
      <c r="E43" s="49"/>
      <c r="F43" s="56">
        <f>SUM(F44:F74)</f>
        <v>0</v>
      </c>
      <c r="G43" s="57"/>
      <c r="H43" s="56">
        <f t="shared" si="7"/>
        <v>0</v>
      </c>
      <c r="I43" s="56">
        <f t="shared" si="7"/>
        <v>0</v>
      </c>
      <c r="J43" s="49"/>
      <c r="K43" s="49"/>
      <c r="L43" s="49"/>
      <c r="M43" s="50"/>
      <c r="N43" s="47"/>
    </row>
    <row r="44" spans="1:14" s="64" customFormat="1" ht="110.25" x14ac:dyDescent="0.2">
      <c r="A44" s="52" t="s">
        <v>129</v>
      </c>
      <c r="B44" s="8" t="s">
        <v>92</v>
      </c>
      <c r="C44" s="4" t="s">
        <v>45</v>
      </c>
      <c r="D44" s="4">
        <v>1</v>
      </c>
      <c r="E44" s="4"/>
      <c r="F44" s="58">
        <f t="shared" ref="F44:F74" si="8">E44*D44</f>
        <v>0</v>
      </c>
      <c r="G44" s="59"/>
      <c r="H44" s="58">
        <f t="shared" ref="H44:H74" si="9">G44*D44</f>
        <v>0</v>
      </c>
      <c r="I44" s="58">
        <f t="shared" ref="I44:I74" si="10">H44+F44</f>
        <v>0</v>
      </c>
      <c r="J44" s="4"/>
      <c r="K44" s="4"/>
      <c r="L44" s="4"/>
      <c r="M44" s="98" t="s">
        <v>160</v>
      </c>
      <c r="N44" s="47"/>
    </row>
    <row r="45" spans="1:14" s="64" customFormat="1" ht="110.25" x14ac:dyDescent="0.2">
      <c r="A45" s="52" t="s">
        <v>130</v>
      </c>
      <c r="B45" s="8" t="s">
        <v>93</v>
      </c>
      <c r="C45" s="4" t="s">
        <v>45</v>
      </c>
      <c r="D45" s="4">
        <v>2</v>
      </c>
      <c r="E45" s="4"/>
      <c r="F45" s="58">
        <f t="shared" si="8"/>
        <v>0</v>
      </c>
      <c r="G45" s="59"/>
      <c r="H45" s="58">
        <f t="shared" si="9"/>
        <v>0</v>
      </c>
      <c r="I45" s="58">
        <f t="shared" si="10"/>
        <v>0</v>
      </c>
      <c r="J45" s="4"/>
      <c r="K45" s="4"/>
      <c r="L45" s="4" t="s">
        <v>94</v>
      </c>
      <c r="M45" s="98" t="s">
        <v>160</v>
      </c>
      <c r="N45" s="47"/>
    </row>
    <row r="46" spans="1:14" s="64" customFormat="1" ht="110.25" x14ac:dyDescent="0.2">
      <c r="A46" s="52" t="s">
        <v>131</v>
      </c>
      <c r="B46" s="8" t="s">
        <v>95</v>
      </c>
      <c r="C46" s="4" t="s">
        <v>45</v>
      </c>
      <c r="D46" s="4">
        <v>2</v>
      </c>
      <c r="E46" s="4"/>
      <c r="F46" s="58">
        <f t="shared" si="8"/>
        <v>0</v>
      </c>
      <c r="G46" s="59"/>
      <c r="H46" s="58">
        <f t="shared" si="9"/>
        <v>0</v>
      </c>
      <c r="I46" s="58">
        <f t="shared" si="10"/>
        <v>0</v>
      </c>
      <c r="J46" s="4"/>
      <c r="K46" s="4"/>
      <c r="L46" s="4" t="s">
        <v>94</v>
      </c>
      <c r="M46" s="98" t="s">
        <v>160</v>
      </c>
      <c r="N46" s="47"/>
    </row>
    <row r="47" spans="1:14" s="64" customFormat="1" ht="94.5" x14ac:dyDescent="0.2">
      <c r="A47" s="52" t="s">
        <v>132</v>
      </c>
      <c r="B47" s="8" t="s">
        <v>96</v>
      </c>
      <c r="C47" s="4" t="s">
        <v>45</v>
      </c>
      <c r="D47" s="4">
        <v>2</v>
      </c>
      <c r="E47" s="4"/>
      <c r="F47" s="58">
        <f t="shared" si="8"/>
        <v>0</v>
      </c>
      <c r="G47" s="59"/>
      <c r="H47" s="58">
        <f t="shared" si="9"/>
        <v>0</v>
      </c>
      <c r="I47" s="58">
        <f t="shared" si="10"/>
        <v>0</v>
      </c>
      <c r="J47" s="4"/>
      <c r="K47" s="4"/>
      <c r="L47" s="4" t="s">
        <v>97</v>
      </c>
      <c r="M47" s="98" t="s">
        <v>160</v>
      </c>
      <c r="N47" s="47"/>
    </row>
    <row r="48" spans="1:14" s="64" customFormat="1" ht="94.5" x14ac:dyDescent="0.2">
      <c r="A48" s="52" t="s">
        <v>133</v>
      </c>
      <c r="B48" s="8" t="s">
        <v>98</v>
      </c>
      <c r="C48" s="4" t="s">
        <v>45</v>
      </c>
      <c r="D48" s="4">
        <v>1</v>
      </c>
      <c r="E48" s="4"/>
      <c r="F48" s="58">
        <f t="shared" si="8"/>
        <v>0</v>
      </c>
      <c r="G48" s="59"/>
      <c r="H48" s="58">
        <f t="shared" si="9"/>
        <v>0</v>
      </c>
      <c r="I48" s="58">
        <f t="shared" si="10"/>
        <v>0</v>
      </c>
      <c r="J48" s="4"/>
      <c r="K48" s="4"/>
      <c r="L48" s="4" t="s">
        <v>97</v>
      </c>
      <c r="M48" s="98" t="s">
        <v>160</v>
      </c>
      <c r="N48" s="47"/>
    </row>
    <row r="49" spans="1:14" s="64" customFormat="1" ht="94.5" x14ac:dyDescent="0.2">
      <c r="A49" s="52" t="s">
        <v>134</v>
      </c>
      <c r="B49" s="8" t="s">
        <v>99</v>
      </c>
      <c r="C49" s="4" t="s">
        <v>45</v>
      </c>
      <c r="D49" s="4">
        <v>3</v>
      </c>
      <c r="E49" s="4"/>
      <c r="F49" s="58">
        <f t="shared" si="8"/>
        <v>0</v>
      </c>
      <c r="G49" s="59"/>
      <c r="H49" s="58">
        <f t="shared" si="9"/>
        <v>0</v>
      </c>
      <c r="I49" s="58">
        <f t="shared" si="10"/>
        <v>0</v>
      </c>
      <c r="J49" s="4"/>
      <c r="K49" s="4"/>
      <c r="L49" s="4" t="s">
        <v>94</v>
      </c>
      <c r="M49" s="98" t="s">
        <v>160</v>
      </c>
      <c r="N49" s="47"/>
    </row>
    <row r="50" spans="1:14" s="64" customFormat="1" ht="94.5" x14ac:dyDescent="0.2">
      <c r="A50" s="52" t="s">
        <v>135</v>
      </c>
      <c r="B50" s="8" t="s">
        <v>100</v>
      </c>
      <c r="C50" s="4" t="s">
        <v>45</v>
      </c>
      <c r="D50" s="4">
        <v>4</v>
      </c>
      <c r="E50" s="4"/>
      <c r="F50" s="58">
        <f t="shared" si="8"/>
        <v>0</v>
      </c>
      <c r="G50" s="59"/>
      <c r="H50" s="58">
        <f t="shared" si="9"/>
        <v>0</v>
      </c>
      <c r="I50" s="58">
        <f t="shared" si="10"/>
        <v>0</v>
      </c>
      <c r="J50" s="4"/>
      <c r="K50" s="4"/>
      <c r="L50" s="4" t="s">
        <v>94</v>
      </c>
      <c r="M50" s="98" t="s">
        <v>160</v>
      </c>
      <c r="N50" s="47"/>
    </row>
    <row r="51" spans="1:14" s="64" customFormat="1" ht="94.5" x14ac:dyDescent="0.2">
      <c r="A51" s="52" t="s">
        <v>136</v>
      </c>
      <c r="B51" s="8" t="s">
        <v>101</v>
      </c>
      <c r="C51" s="4" t="s">
        <v>45</v>
      </c>
      <c r="D51" s="4">
        <v>5</v>
      </c>
      <c r="E51" s="4"/>
      <c r="F51" s="58">
        <f t="shared" si="8"/>
        <v>0</v>
      </c>
      <c r="G51" s="59"/>
      <c r="H51" s="58">
        <f t="shared" si="9"/>
        <v>0</v>
      </c>
      <c r="I51" s="58">
        <f t="shared" si="10"/>
        <v>0</v>
      </c>
      <c r="J51" s="4"/>
      <c r="K51" s="4"/>
      <c r="L51" s="4" t="s">
        <v>94</v>
      </c>
      <c r="M51" s="98" t="s">
        <v>160</v>
      </c>
      <c r="N51" s="47"/>
    </row>
    <row r="52" spans="1:14" s="64" customFormat="1" ht="94.5" x14ac:dyDescent="0.2">
      <c r="A52" s="52" t="s">
        <v>137</v>
      </c>
      <c r="B52" s="8" t="s">
        <v>102</v>
      </c>
      <c r="C52" s="4" t="s">
        <v>45</v>
      </c>
      <c r="D52" s="4">
        <v>4</v>
      </c>
      <c r="E52" s="4"/>
      <c r="F52" s="58">
        <f t="shared" si="8"/>
        <v>0</v>
      </c>
      <c r="G52" s="59"/>
      <c r="H52" s="58">
        <f t="shared" si="9"/>
        <v>0</v>
      </c>
      <c r="I52" s="58">
        <f t="shared" si="10"/>
        <v>0</v>
      </c>
      <c r="J52" s="4"/>
      <c r="K52" s="4"/>
      <c r="L52" s="4" t="s">
        <v>94</v>
      </c>
      <c r="M52" s="98" t="s">
        <v>160</v>
      </c>
      <c r="N52" s="47"/>
    </row>
    <row r="53" spans="1:14" s="64" customFormat="1" ht="78.75" x14ac:dyDescent="0.2">
      <c r="A53" s="52" t="s">
        <v>138</v>
      </c>
      <c r="B53" s="8" t="s">
        <v>103</v>
      </c>
      <c r="C53" s="4" t="s">
        <v>45</v>
      </c>
      <c r="D53" s="4">
        <v>1</v>
      </c>
      <c r="E53" s="4"/>
      <c r="F53" s="58">
        <f t="shared" si="8"/>
        <v>0</v>
      </c>
      <c r="G53" s="59"/>
      <c r="H53" s="58">
        <f t="shared" si="9"/>
        <v>0</v>
      </c>
      <c r="I53" s="58">
        <f t="shared" si="10"/>
        <v>0</v>
      </c>
      <c r="J53" s="4"/>
      <c r="K53" s="4"/>
      <c r="L53" s="4" t="s">
        <v>97</v>
      </c>
      <c r="M53" s="98" t="s">
        <v>160</v>
      </c>
      <c r="N53" s="47"/>
    </row>
    <row r="54" spans="1:14" s="64" customFormat="1" ht="78.75" x14ac:dyDescent="0.2">
      <c r="A54" s="52" t="s">
        <v>139</v>
      </c>
      <c r="B54" s="8" t="s">
        <v>104</v>
      </c>
      <c r="C54" s="4" t="s">
        <v>45</v>
      </c>
      <c r="D54" s="4">
        <v>1</v>
      </c>
      <c r="E54" s="4"/>
      <c r="F54" s="58">
        <f t="shared" si="8"/>
        <v>0</v>
      </c>
      <c r="G54" s="59"/>
      <c r="H54" s="58">
        <f t="shared" si="9"/>
        <v>0</v>
      </c>
      <c r="I54" s="58">
        <f t="shared" si="10"/>
        <v>0</v>
      </c>
      <c r="J54" s="4"/>
      <c r="K54" s="4"/>
      <c r="L54" s="4" t="s">
        <v>97</v>
      </c>
      <c r="M54" s="98" t="s">
        <v>160</v>
      </c>
      <c r="N54" s="47"/>
    </row>
    <row r="55" spans="1:14" s="64" customFormat="1" ht="78.75" x14ac:dyDescent="0.2">
      <c r="A55" s="52" t="s">
        <v>140</v>
      </c>
      <c r="B55" s="8" t="s">
        <v>105</v>
      </c>
      <c r="C55" s="4" t="s">
        <v>45</v>
      </c>
      <c r="D55" s="4">
        <v>7</v>
      </c>
      <c r="E55" s="4"/>
      <c r="F55" s="58">
        <f t="shared" si="8"/>
        <v>0</v>
      </c>
      <c r="G55" s="59"/>
      <c r="H55" s="58">
        <f t="shared" si="9"/>
        <v>0</v>
      </c>
      <c r="I55" s="58">
        <f t="shared" si="10"/>
        <v>0</v>
      </c>
      <c r="J55" s="4"/>
      <c r="K55" s="4"/>
      <c r="L55" s="4" t="s">
        <v>106</v>
      </c>
      <c r="M55" s="98" t="s">
        <v>160</v>
      </c>
      <c r="N55" s="47"/>
    </row>
    <row r="56" spans="1:14" s="64" customFormat="1" ht="78.75" x14ac:dyDescent="0.2">
      <c r="A56" s="52" t="s">
        <v>141</v>
      </c>
      <c r="B56" s="8" t="s">
        <v>107</v>
      </c>
      <c r="C56" s="4" t="s">
        <v>45</v>
      </c>
      <c r="D56" s="4">
        <v>5</v>
      </c>
      <c r="E56" s="4"/>
      <c r="F56" s="58">
        <f t="shared" si="8"/>
        <v>0</v>
      </c>
      <c r="G56" s="59"/>
      <c r="H56" s="58">
        <f t="shared" si="9"/>
        <v>0</v>
      </c>
      <c r="I56" s="58">
        <f t="shared" si="10"/>
        <v>0</v>
      </c>
      <c r="J56" s="4"/>
      <c r="K56" s="4"/>
      <c r="L56" s="4" t="s">
        <v>106</v>
      </c>
      <c r="M56" s="98" t="s">
        <v>160</v>
      </c>
      <c r="N56" s="47"/>
    </row>
    <row r="57" spans="1:14" s="64" customFormat="1" ht="78.75" x14ac:dyDescent="0.2">
      <c r="A57" s="52" t="s">
        <v>142</v>
      </c>
      <c r="B57" s="8" t="s">
        <v>108</v>
      </c>
      <c r="C57" s="4" t="s">
        <v>45</v>
      </c>
      <c r="D57" s="4">
        <v>4</v>
      </c>
      <c r="E57" s="4"/>
      <c r="F57" s="58">
        <f t="shared" si="8"/>
        <v>0</v>
      </c>
      <c r="G57" s="59"/>
      <c r="H57" s="58">
        <f t="shared" si="9"/>
        <v>0</v>
      </c>
      <c r="I57" s="58">
        <f t="shared" si="10"/>
        <v>0</v>
      </c>
      <c r="J57" s="4"/>
      <c r="K57" s="4"/>
      <c r="L57" s="4" t="s">
        <v>106</v>
      </c>
      <c r="M57" s="98" t="s">
        <v>160</v>
      </c>
      <c r="N57" s="47"/>
    </row>
    <row r="58" spans="1:14" s="64" customFormat="1" ht="78.75" x14ac:dyDescent="0.2">
      <c r="A58" s="52" t="s">
        <v>143</v>
      </c>
      <c r="B58" s="8" t="s">
        <v>109</v>
      </c>
      <c r="C58" s="4" t="s">
        <v>45</v>
      </c>
      <c r="D58" s="4">
        <v>3</v>
      </c>
      <c r="E58" s="4"/>
      <c r="F58" s="58">
        <f t="shared" si="8"/>
        <v>0</v>
      </c>
      <c r="G58" s="59"/>
      <c r="H58" s="58">
        <f t="shared" si="9"/>
        <v>0</v>
      </c>
      <c r="I58" s="58">
        <f t="shared" si="10"/>
        <v>0</v>
      </c>
      <c r="J58" s="4"/>
      <c r="K58" s="4"/>
      <c r="L58" s="4" t="s">
        <v>106</v>
      </c>
      <c r="M58" s="98" t="s">
        <v>160</v>
      </c>
      <c r="N58" s="47"/>
    </row>
    <row r="59" spans="1:14" s="64" customFormat="1" ht="78.75" x14ac:dyDescent="0.2">
      <c r="A59" s="52" t="s">
        <v>144</v>
      </c>
      <c r="B59" s="8" t="s">
        <v>110</v>
      </c>
      <c r="C59" s="4" t="s">
        <v>45</v>
      </c>
      <c r="D59" s="4">
        <v>25</v>
      </c>
      <c r="E59" s="4"/>
      <c r="F59" s="58">
        <f t="shared" si="8"/>
        <v>0</v>
      </c>
      <c r="G59" s="59"/>
      <c r="H59" s="58">
        <f t="shared" si="9"/>
        <v>0</v>
      </c>
      <c r="I59" s="58">
        <f t="shared" si="10"/>
        <v>0</v>
      </c>
      <c r="J59" s="4"/>
      <c r="K59" s="4"/>
      <c r="L59" s="4" t="s">
        <v>97</v>
      </c>
      <c r="M59" s="98" t="s">
        <v>160</v>
      </c>
      <c r="N59" s="47"/>
    </row>
    <row r="60" spans="1:14" s="64" customFormat="1" ht="78.75" x14ac:dyDescent="0.2">
      <c r="A60" s="52" t="s">
        <v>145</v>
      </c>
      <c r="B60" s="8" t="s">
        <v>111</v>
      </c>
      <c r="C60" s="4" t="s">
        <v>45</v>
      </c>
      <c r="D60" s="4">
        <v>23</v>
      </c>
      <c r="E60" s="4"/>
      <c r="F60" s="58">
        <f t="shared" si="8"/>
        <v>0</v>
      </c>
      <c r="G60" s="59"/>
      <c r="H60" s="58">
        <f t="shared" si="9"/>
        <v>0</v>
      </c>
      <c r="I60" s="58">
        <f t="shared" si="10"/>
        <v>0</v>
      </c>
      <c r="J60" s="4"/>
      <c r="K60" s="4"/>
      <c r="L60" s="4" t="s">
        <v>97</v>
      </c>
      <c r="M60" s="98" t="s">
        <v>160</v>
      </c>
      <c r="N60" s="47"/>
    </row>
    <row r="61" spans="1:14" s="64" customFormat="1" ht="78.75" x14ac:dyDescent="0.2">
      <c r="A61" s="52" t="s">
        <v>146</v>
      </c>
      <c r="B61" s="8" t="s">
        <v>112</v>
      </c>
      <c r="C61" s="4" t="s">
        <v>45</v>
      </c>
      <c r="D61" s="4">
        <v>18</v>
      </c>
      <c r="E61" s="4"/>
      <c r="F61" s="58">
        <f t="shared" si="8"/>
        <v>0</v>
      </c>
      <c r="G61" s="59"/>
      <c r="H61" s="58">
        <f t="shared" si="9"/>
        <v>0</v>
      </c>
      <c r="I61" s="58">
        <f t="shared" si="10"/>
        <v>0</v>
      </c>
      <c r="J61" s="4"/>
      <c r="K61" s="4"/>
      <c r="L61" s="4"/>
      <c r="M61" s="98" t="s">
        <v>160</v>
      </c>
      <c r="N61" s="47"/>
    </row>
    <row r="62" spans="1:14" s="64" customFormat="1" ht="78.75" x14ac:dyDescent="0.2">
      <c r="A62" s="52" t="s">
        <v>147</v>
      </c>
      <c r="B62" s="8" t="s">
        <v>113</v>
      </c>
      <c r="C62" s="4" t="s">
        <v>45</v>
      </c>
      <c r="D62" s="4">
        <v>23</v>
      </c>
      <c r="E62" s="4"/>
      <c r="F62" s="58">
        <f t="shared" si="8"/>
        <v>0</v>
      </c>
      <c r="G62" s="59"/>
      <c r="H62" s="58">
        <f t="shared" si="9"/>
        <v>0</v>
      </c>
      <c r="I62" s="58">
        <f t="shared" si="10"/>
        <v>0</v>
      </c>
      <c r="J62" s="4"/>
      <c r="K62" s="4"/>
      <c r="L62" s="4"/>
      <c r="M62" s="98" t="s">
        <v>160</v>
      </c>
      <c r="N62" s="47"/>
    </row>
    <row r="63" spans="1:14" s="64" customFormat="1" ht="78.75" x14ac:dyDescent="0.2">
      <c r="A63" s="52" t="s">
        <v>148</v>
      </c>
      <c r="B63" s="8" t="s">
        <v>114</v>
      </c>
      <c r="C63" s="4" t="s">
        <v>45</v>
      </c>
      <c r="D63" s="4">
        <v>2</v>
      </c>
      <c r="E63" s="4"/>
      <c r="F63" s="58">
        <f t="shared" si="8"/>
        <v>0</v>
      </c>
      <c r="G63" s="59"/>
      <c r="H63" s="58">
        <f t="shared" si="9"/>
        <v>0</v>
      </c>
      <c r="I63" s="58">
        <f t="shared" si="10"/>
        <v>0</v>
      </c>
      <c r="J63" s="4"/>
      <c r="K63" s="4"/>
      <c r="L63" s="4" t="s">
        <v>115</v>
      </c>
      <c r="M63" s="99" t="s">
        <v>161</v>
      </c>
      <c r="N63" s="47"/>
    </row>
    <row r="64" spans="1:14" s="64" customFormat="1" ht="78.75" x14ac:dyDescent="0.2">
      <c r="A64" s="52" t="s">
        <v>149</v>
      </c>
      <c r="B64" s="8" t="s">
        <v>116</v>
      </c>
      <c r="C64" s="4" t="s">
        <v>45</v>
      </c>
      <c r="D64" s="4">
        <v>2</v>
      </c>
      <c r="E64" s="4"/>
      <c r="F64" s="58">
        <f t="shared" si="8"/>
        <v>0</v>
      </c>
      <c r="G64" s="59"/>
      <c r="H64" s="58">
        <f t="shared" si="9"/>
        <v>0</v>
      </c>
      <c r="I64" s="58">
        <f t="shared" si="10"/>
        <v>0</v>
      </c>
      <c r="J64" s="4"/>
      <c r="K64" s="4"/>
      <c r="L64" s="4" t="s">
        <v>115</v>
      </c>
      <c r="M64" s="99" t="s">
        <v>161</v>
      </c>
      <c r="N64" s="47"/>
    </row>
    <row r="65" spans="1:14" s="64" customFormat="1" ht="78.75" x14ac:dyDescent="0.2">
      <c r="A65" s="52" t="s">
        <v>150</v>
      </c>
      <c r="B65" s="8" t="s">
        <v>117</v>
      </c>
      <c r="C65" s="4" t="s">
        <v>45</v>
      </c>
      <c r="D65" s="4">
        <v>1</v>
      </c>
      <c r="E65" s="4"/>
      <c r="F65" s="58">
        <f t="shared" si="8"/>
        <v>0</v>
      </c>
      <c r="G65" s="59"/>
      <c r="H65" s="58">
        <f t="shared" si="9"/>
        <v>0</v>
      </c>
      <c r="I65" s="58">
        <f t="shared" si="10"/>
        <v>0</v>
      </c>
      <c r="J65" s="4"/>
      <c r="K65" s="4"/>
      <c r="L65" s="4" t="s">
        <v>97</v>
      </c>
      <c r="M65" s="99" t="s">
        <v>162</v>
      </c>
      <c r="N65" s="47"/>
    </row>
    <row r="66" spans="1:14" s="64" customFormat="1" ht="78.75" x14ac:dyDescent="0.2">
      <c r="A66" s="52" t="s">
        <v>151</v>
      </c>
      <c r="B66" s="8" t="s">
        <v>118</v>
      </c>
      <c r="C66" s="4" t="s">
        <v>45</v>
      </c>
      <c r="D66" s="4">
        <v>1</v>
      </c>
      <c r="E66" s="4"/>
      <c r="F66" s="58">
        <f t="shared" si="8"/>
        <v>0</v>
      </c>
      <c r="G66" s="59"/>
      <c r="H66" s="58">
        <f t="shared" si="9"/>
        <v>0</v>
      </c>
      <c r="I66" s="58">
        <f t="shared" si="10"/>
        <v>0</v>
      </c>
      <c r="J66" s="4"/>
      <c r="K66" s="4"/>
      <c r="L66" s="4" t="s">
        <v>97</v>
      </c>
      <c r="M66" s="99" t="s">
        <v>163</v>
      </c>
      <c r="N66" s="47"/>
    </row>
    <row r="67" spans="1:14" s="64" customFormat="1" ht="94.5" x14ac:dyDescent="0.2">
      <c r="A67" s="52" t="s">
        <v>152</v>
      </c>
      <c r="B67" s="8" t="s">
        <v>119</v>
      </c>
      <c r="C67" s="4" t="s">
        <v>45</v>
      </c>
      <c r="D67" s="4">
        <v>2</v>
      </c>
      <c r="E67" s="4"/>
      <c r="F67" s="58">
        <f t="shared" si="8"/>
        <v>0</v>
      </c>
      <c r="G67" s="59"/>
      <c r="H67" s="58">
        <f t="shared" si="9"/>
        <v>0</v>
      </c>
      <c r="I67" s="58">
        <f t="shared" si="10"/>
        <v>0</v>
      </c>
      <c r="J67" s="4"/>
      <c r="K67" s="4"/>
      <c r="L67" s="4"/>
      <c r="M67" s="99" t="s">
        <v>164</v>
      </c>
      <c r="N67" s="47"/>
    </row>
    <row r="68" spans="1:14" s="64" customFormat="1" ht="94.5" x14ac:dyDescent="0.2">
      <c r="A68" s="52" t="s">
        <v>153</v>
      </c>
      <c r="B68" s="8" t="s">
        <v>120</v>
      </c>
      <c r="C68" s="4" t="s">
        <v>45</v>
      </c>
      <c r="D68" s="4">
        <v>32</v>
      </c>
      <c r="E68" s="4"/>
      <c r="F68" s="58">
        <f t="shared" si="8"/>
        <v>0</v>
      </c>
      <c r="G68" s="59"/>
      <c r="H68" s="58">
        <f t="shared" si="9"/>
        <v>0</v>
      </c>
      <c r="I68" s="58">
        <f t="shared" si="10"/>
        <v>0</v>
      </c>
      <c r="J68" s="4"/>
      <c r="K68" s="4"/>
      <c r="L68" s="4" t="s">
        <v>121</v>
      </c>
      <c r="M68" s="100" t="s">
        <v>167</v>
      </c>
      <c r="N68" s="47"/>
    </row>
    <row r="69" spans="1:14" s="64" customFormat="1" ht="78.75" x14ac:dyDescent="0.2">
      <c r="A69" s="52" t="s">
        <v>154</v>
      </c>
      <c r="B69" s="24" t="s">
        <v>122</v>
      </c>
      <c r="C69" s="4" t="s">
        <v>45</v>
      </c>
      <c r="D69" s="4">
        <v>80</v>
      </c>
      <c r="E69" s="4"/>
      <c r="F69" s="58">
        <f t="shared" si="8"/>
        <v>0</v>
      </c>
      <c r="G69" s="59"/>
      <c r="H69" s="58">
        <f t="shared" si="9"/>
        <v>0</v>
      </c>
      <c r="I69" s="58">
        <f t="shared" si="10"/>
        <v>0</v>
      </c>
      <c r="J69" s="4"/>
      <c r="K69" s="4"/>
      <c r="L69" s="4" t="s">
        <v>115</v>
      </c>
      <c r="M69" s="101" t="s">
        <v>165</v>
      </c>
      <c r="N69" s="47"/>
    </row>
    <row r="70" spans="1:14" s="64" customFormat="1" ht="78.75" x14ac:dyDescent="0.2">
      <c r="A70" s="52" t="s">
        <v>155</v>
      </c>
      <c r="B70" s="24" t="s">
        <v>123</v>
      </c>
      <c r="C70" s="4" t="s">
        <v>45</v>
      </c>
      <c r="D70" s="4">
        <v>96</v>
      </c>
      <c r="E70" s="4"/>
      <c r="F70" s="58">
        <f t="shared" si="8"/>
        <v>0</v>
      </c>
      <c r="G70" s="59"/>
      <c r="H70" s="58">
        <f t="shared" si="9"/>
        <v>0</v>
      </c>
      <c r="I70" s="58">
        <f t="shared" si="10"/>
        <v>0</v>
      </c>
      <c r="J70" s="4"/>
      <c r="K70" s="4"/>
      <c r="L70" s="4" t="s">
        <v>115</v>
      </c>
      <c r="M70" s="101" t="s">
        <v>165</v>
      </c>
      <c r="N70" s="47"/>
    </row>
    <row r="71" spans="1:14" s="64" customFormat="1" ht="78.75" x14ac:dyDescent="0.2">
      <c r="A71" s="52" t="s">
        <v>156</v>
      </c>
      <c r="B71" s="24" t="s">
        <v>124</v>
      </c>
      <c r="C71" s="4" t="s">
        <v>45</v>
      </c>
      <c r="D71" s="4">
        <v>4</v>
      </c>
      <c r="E71" s="4"/>
      <c r="F71" s="58">
        <f t="shared" si="8"/>
        <v>0</v>
      </c>
      <c r="G71" s="59"/>
      <c r="H71" s="58">
        <f t="shared" si="9"/>
        <v>0</v>
      </c>
      <c r="I71" s="58">
        <f t="shared" si="10"/>
        <v>0</v>
      </c>
      <c r="J71" s="4"/>
      <c r="K71" s="4"/>
      <c r="L71" s="4" t="s">
        <v>121</v>
      </c>
      <c r="M71" s="100" t="s">
        <v>167</v>
      </c>
      <c r="N71" s="47"/>
    </row>
    <row r="72" spans="1:14" s="64" customFormat="1" ht="63" x14ac:dyDescent="0.2">
      <c r="A72" s="52" t="s">
        <v>157</v>
      </c>
      <c r="B72" s="24" t="s">
        <v>125</v>
      </c>
      <c r="C72" s="4" t="s">
        <v>45</v>
      </c>
      <c r="D72" s="4">
        <v>36</v>
      </c>
      <c r="E72" s="4"/>
      <c r="F72" s="58">
        <f t="shared" si="8"/>
        <v>0</v>
      </c>
      <c r="G72" s="59"/>
      <c r="H72" s="58">
        <f t="shared" si="9"/>
        <v>0</v>
      </c>
      <c r="I72" s="58">
        <f t="shared" si="10"/>
        <v>0</v>
      </c>
      <c r="J72" s="4"/>
      <c r="K72" s="4"/>
      <c r="L72" s="4" t="s">
        <v>115</v>
      </c>
      <c r="M72" s="99" t="s">
        <v>166</v>
      </c>
      <c r="N72" s="47"/>
    </row>
    <row r="73" spans="1:14" s="64" customFormat="1" ht="78.75" x14ac:dyDescent="0.2">
      <c r="A73" s="52" t="s">
        <v>158</v>
      </c>
      <c r="B73" s="24" t="s">
        <v>126</v>
      </c>
      <c r="C73" s="4" t="s">
        <v>45</v>
      </c>
      <c r="D73" s="4">
        <v>8</v>
      </c>
      <c r="E73" s="4"/>
      <c r="F73" s="58">
        <f t="shared" si="8"/>
        <v>0</v>
      </c>
      <c r="G73" s="59"/>
      <c r="H73" s="58">
        <f t="shared" si="9"/>
        <v>0</v>
      </c>
      <c r="I73" s="58">
        <f t="shared" si="10"/>
        <v>0</v>
      </c>
      <c r="J73" s="4"/>
      <c r="K73" s="4"/>
      <c r="L73" s="4" t="s">
        <v>127</v>
      </c>
      <c r="M73" s="101" t="s">
        <v>165</v>
      </c>
      <c r="N73" s="47"/>
    </row>
    <row r="74" spans="1:14" s="72" customFormat="1" ht="42" customHeight="1" x14ac:dyDescent="0.2">
      <c r="A74" s="52" t="s">
        <v>159</v>
      </c>
      <c r="B74" s="24" t="s">
        <v>128</v>
      </c>
      <c r="C74" s="4" t="s">
        <v>45</v>
      </c>
      <c r="D74" s="4">
        <v>10</v>
      </c>
      <c r="E74" s="4"/>
      <c r="F74" s="58">
        <f t="shared" si="8"/>
        <v>0</v>
      </c>
      <c r="G74" s="59"/>
      <c r="H74" s="58">
        <f t="shared" si="9"/>
        <v>0</v>
      </c>
      <c r="I74" s="58">
        <f t="shared" si="10"/>
        <v>0</v>
      </c>
      <c r="J74" s="4"/>
      <c r="K74" s="4"/>
      <c r="L74" s="4" t="s">
        <v>115</v>
      </c>
      <c r="M74" s="101" t="s">
        <v>165</v>
      </c>
    </row>
    <row r="75" spans="1:14" s="72" customFormat="1" ht="18.75" customHeight="1" x14ac:dyDescent="0.2">
      <c r="A75" s="96" t="s">
        <v>188</v>
      </c>
      <c r="B75" s="48" t="s">
        <v>189</v>
      </c>
      <c r="C75" s="49"/>
      <c r="D75" s="88"/>
      <c r="E75" s="49"/>
      <c r="F75" s="56">
        <f>SUM(F76:F99)</f>
        <v>0</v>
      </c>
      <c r="G75" s="57"/>
      <c r="H75" s="56">
        <f t="shared" ref="H75:I75" si="11">SUM(H76:H99)</f>
        <v>0</v>
      </c>
      <c r="I75" s="56">
        <f t="shared" si="11"/>
        <v>0</v>
      </c>
      <c r="J75" s="49"/>
      <c r="K75" s="49"/>
      <c r="L75" s="49"/>
      <c r="M75" s="50"/>
    </row>
    <row r="76" spans="1:14" s="64" customFormat="1" x14ac:dyDescent="0.2">
      <c r="A76" s="52" t="s">
        <v>190</v>
      </c>
      <c r="B76" s="24" t="s">
        <v>191</v>
      </c>
      <c r="C76" s="4" t="s">
        <v>45</v>
      </c>
      <c r="D76" s="4">
        <v>5</v>
      </c>
      <c r="E76" s="4"/>
      <c r="F76" s="58"/>
      <c r="G76" s="59"/>
      <c r="H76" s="58">
        <f t="shared" ref="H76" si="12">G76*D76</f>
        <v>0</v>
      </c>
      <c r="I76" s="58">
        <f t="shared" ref="I76:I99" si="13">H76+F76</f>
        <v>0</v>
      </c>
      <c r="J76" s="4"/>
      <c r="K76" s="4"/>
      <c r="L76" s="4"/>
      <c r="M76" s="103"/>
      <c r="N76" s="47"/>
    </row>
    <row r="77" spans="1:14" s="64" customFormat="1" x14ac:dyDescent="0.2">
      <c r="A77" s="52"/>
      <c r="B77" s="104" t="s">
        <v>192</v>
      </c>
      <c r="C77" s="4" t="s">
        <v>45</v>
      </c>
      <c r="D77" s="4">
        <f>D76</f>
        <v>5</v>
      </c>
      <c r="E77" s="4"/>
      <c r="F77" s="58">
        <f t="shared" ref="F77:F79" si="14">E77*D77</f>
        <v>0</v>
      </c>
      <c r="G77" s="59"/>
      <c r="H77" s="58"/>
      <c r="I77" s="58">
        <f t="shared" si="13"/>
        <v>0</v>
      </c>
      <c r="J77" s="4"/>
      <c r="K77" s="4"/>
      <c r="L77" s="4"/>
      <c r="M77" s="103"/>
      <c r="N77" s="47"/>
    </row>
    <row r="78" spans="1:14" x14ac:dyDescent="0.2">
      <c r="A78" s="52"/>
      <c r="B78" s="104" t="s">
        <v>193</v>
      </c>
      <c r="C78" s="4" t="s">
        <v>45</v>
      </c>
      <c r="D78" s="4">
        <v>5</v>
      </c>
      <c r="E78" s="4"/>
      <c r="F78" s="58">
        <f t="shared" si="14"/>
        <v>0</v>
      </c>
      <c r="G78" s="59"/>
      <c r="H78" s="58"/>
      <c r="I78" s="58">
        <f t="shared" si="13"/>
        <v>0</v>
      </c>
      <c r="J78" s="4"/>
      <c r="K78" s="4"/>
      <c r="L78" s="4"/>
      <c r="M78" s="103"/>
    </row>
    <row r="79" spans="1:14" x14ac:dyDescent="0.2">
      <c r="A79" s="52"/>
      <c r="B79" s="104" t="s">
        <v>194</v>
      </c>
      <c r="C79" s="4" t="s">
        <v>45</v>
      </c>
      <c r="D79" s="4">
        <v>5</v>
      </c>
      <c r="E79" s="4"/>
      <c r="F79" s="58">
        <f t="shared" si="14"/>
        <v>0</v>
      </c>
      <c r="G79" s="59"/>
      <c r="H79" s="58"/>
      <c r="I79" s="58">
        <f t="shared" si="13"/>
        <v>0</v>
      </c>
      <c r="J79" s="4"/>
      <c r="K79" s="4"/>
      <c r="L79" s="4"/>
      <c r="M79" s="103"/>
    </row>
    <row r="80" spans="1:14" x14ac:dyDescent="0.2">
      <c r="A80" s="52" t="s">
        <v>195</v>
      </c>
      <c r="B80" s="24" t="s">
        <v>196</v>
      </c>
      <c r="C80" s="4" t="s">
        <v>45</v>
      </c>
      <c r="D80" s="4">
        <v>2</v>
      </c>
      <c r="E80" s="4"/>
      <c r="F80" s="58"/>
      <c r="G80" s="59"/>
      <c r="H80" s="58">
        <f t="shared" ref="H80" si="15">G80*D80</f>
        <v>0</v>
      </c>
      <c r="I80" s="58">
        <f t="shared" si="13"/>
        <v>0</v>
      </c>
      <c r="J80" s="4"/>
      <c r="K80" s="4"/>
      <c r="L80" s="4"/>
      <c r="M80" s="103"/>
    </row>
    <row r="81" spans="1:14" ht="31.5" x14ac:dyDescent="0.2">
      <c r="A81" s="52"/>
      <c r="B81" s="104" t="s">
        <v>197</v>
      </c>
      <c r="C81" s="4" t="s">
        <v>45</v>
      </c>
      <c r="D81" s="4">
        <v>1</v>
      </c>
      <c r="E81" s="4"/>
      <c r="F81" s="58">
        <f t="shared" ref="F81:F85" si="16">E81*D81</f>
        <v>0</v>
      </c>
      <c r="G81" s="59"/>
      <c r="H81" s="58"/>
      <c r="I81" s="58">
        <f t="shared" si="13"/>
        <v>0</v>
      </c>
      <c r="J81" s="4"/>
      <c r="K81" s="4"/>
      <c r="L81" s="4"/>
      <c r="M81" s="103"/>
    </row>
    <row r="82" spans="1:14" ht="47.25" x14ac:dyDescent="0.2">
      <c r="A82" s="52"/>
      <c r="B82" s="104" t="s">
        <v>198</v>
      </c>
      <c r="C82" s="4" t="s">
        <v>45</v>
      </c>
      <c r="D82" s="4">
        <v>1</v>
      </c>
      <c r="E82" s="4"/>
      <c r="F82" s="58">
        <f t="shared" si="16"/>
        <v>0</v>
      </c>
      <c r="G82" s="59"/>
      <c r="H82" s="58"/>
      <c r="I82" s="58">
        <f t="shared" si="13"/>
        <v>0</v>
      </c>
      <c r="J82" s="4"/>
      <c r="K82" s="4"/>
      <c r="L82" s="4"/>
      <c r="M82" s="103"/>
    </row>
    <row r="83" spans="1:14" x14ac:dyDescent="0.2">
      <c r="A83" s="52"/>
      <c r="B83" s="104" t="s">
        <v>199</v>
      </c>
      <c r="C83" s="4" t="s">
        <v>45</v>
      </c>
      <c r="D83" s="4">
        <v>2</v>
      </c>
      <c r="E83" s="4"/>
      <c r="F83" s="58">
        <f t="shared" si="16"/>
        <v>0</v>
      </c>
      <c r="G83" s="59"/>
      <c r="H83" s="58"/>
      <c r="I83" s="58">
        <f t="shared" si="13"/>
        <v>0</v>
      </c>
      <c r="J83" s="4"/>
      <c r="K83" s="4"/>
      <c r="L83" s="4"/>
      <c r="M83" s="103"/>
    </row>
    <row r="84" spans="1:14" x14ac:dyDescent="0.2">
      <c r="A84" s="52" t="s">
        <v>200</v>
      </c>
      <c r="B84" s="24" t="s">
        <v>201</v>
      </c>
      <c r="C84" s="4" t="s">
        <v>45</v>
      </c>
      <c r="D84" s="4">
        <v>1</v>
      </c>
      <c r="E84" s="4"/>
      <c r="F84" s="58"/>
      <c r="G84" s="59"/>
      <c r="H84" s="58">
        <f t="shared" ref="H84" si="17">G84*D84</f>
        <v>0</v>
      </c>
      <c r="I84" s="58">
        <f t="shared" si="13"/>
        <v>0</v>
      </c>
      <c r="J84" s="4"/>
      <c r="K84" s="4"/>
      <c r="L84" s="4"/>
      <c r="M84" s="103"/>
      <c r="N84" s="15"/>
    </row>
    <row r="85" spans="1:14" x14ac:dyDescent="0.2">
      <c r="A85" s="52"/>
      <c r="B85" s="104" t="s">
        <v>202</v>
      </c>
      <c r="C85" s="4" t="s">
        <v>45</v>
      </c>
      <c r="D85" s="4">
        <f>D84</f>
        <v>1</v>
      </c>
      <c r="E85" s="4"/>
      <c r="F85" s="58">
        <f t="shared" si="16"/>
        <v>0</v>
      </c>
      <c r="G85" s="59"/>
      <c r="H85" s="58"/>
      <c r="I85" s="58">
        <f t="shared" si="13"/>
        <v>0</v>
      </c>
      <c r="J85" s="4"/>
      <c r="K85" s="4"/>
      <c r="L85" s="4"/>
      <c r="M85" s="103"/>
    </row>
    <row r="86" spans="1:14" x14ac:dyDescent="0.2">
      <c r="A86" s="52" t="s">
        <v>203</v>
      </c>
      <c r="B86" s="24" t="s">
        <v>204</v>
      </c>
      <c r="C86" s="4" t="s">
        <v>45</v>
      </c>
      <c r="D86" s="4">
        <v>1</v>
      </c>
      <c r="E86" s="4"/>
      <c r="F86" s="58"/>
      <c r="G86" s="59"/>
      <c r="H86" s="58">
        <f t="shared" ref="H86" si="18">G86*D86</f>
        <v>0</v>
      </c>
      <c r="I86" s="58">
        <f t="shared" si="13"/>
        <v>0</v>
      </c>
      <c r="J86" s="4"/>
      <c r="K86" s="4"/>
      <c r="L86" s="4"/>
      <c r="M86" s="103"/>
    </row>
    <row r="87" spans="1:14" ht="31.5" x14ac:dyDescent="0.2">
      <c r="A87" s="52"/>
      <c r="B87" s="104" t="s">
        <v>205</v>
      </c>
      <c r="C87" s="4" t="s">
        <v>45</v>
      </c>
      <c r="D87" s="4">
        <f>D86</f>
        <v>1</v>
      </c>
      <c r="E87" s="4"/>
      <c r="F87" s="58">
        <f t="shared" ref="F87" si="19">E87*D87</f>
        <v>0</v>
      </c>
      <c r="G87" s="59"/>
      <c r="H87" s="58"/>
      <c r="I87" s="58">
        <f t="shared" si="13"/>
        <v>0</v>
      </c>
      <c r="J87" s="4"/>
      <c r="K87" s="4"/>
      <c r="L87" s="4"/>
      <c r="M87" s="103"/>
    </row>
    <row r="88" spans="1:14" ht="78.75" x14ac:dyDescent="0.2">
      <c r="A88" s="52" t="s">
        <v>206</v>
      </c>
      <c r="B88" s="24" t="s">
        <v>207</v>
      </c>
      <c r="C88" s="4" t="s">
        <v>241</v>
      </c>
      <c r="D88" s="4">
        <v>4</v>
      </c>
      <c r="E88" s="4"/>
      <c r="F88" s="58"/>
      <c r="G88" s="59"/>
      <c r="H88" s="58">
        <f t="shared" ref="H88" si="20">G88*D88</f>
        <v>0</v>
      </c>
      <c r="I88" s="58">
        <f t="shared" si="13"/>
        <v>0</v>
      </c>
      <c r="J88" s="4"/>
      <c r="K88" s="4"/>
      <c r="L88" s="4"/>
      <c r="M88" s="103"/>
    </row>
    <row r="89" spans="1:14" ht="31.5" x14ac:dyDescent="0.2">
      <c r="A89" s="52"/>
      <c r="B89" s="104" t="s">
        <v>208</v>
      </c>
      <c r="C89" s="4" t="s">
        <v>241</v>
      </c>
      <c r="D89" s="4">
        <f>D88</f>
        <v>4</v>
      </c>
      <c r="E89" s="4"/>
      <c r="F89" s="58">
        <f t="shared" ref="F89" si="21">E89*D89</f>
        <v>0</v>
      </c>
      <c r="G89" s="59"/>
      <c r="H89" s="58"/>
      <c r="I89" s="58">
        <f t="shared" si="13"/>
        <v>0</v>
      </c>
      <c r="J89" s="4"/>
      <c r="K89" s="4"/>
      <c r="L89" s="4"/>
      <c r="M89" s="103"/>
    </row>
    <row r="90" spans="1:14" x14ac:dyDescent="0.2">
      <c r="A90" s="52" t="s">
        <v>209</v>
      </c>
      <c r="B90" s="24" t="s">
        <v>210</v>
      </c>
      <c r="C90" s="4" t="s">
        <v>211</v>
      </c>
      <c r="D90" s="105">
        <f>478.8+169.2+441+17+27.7</f>
        <v>1133.7</v>
      </c>
      <c r="E90" s="4"/>
      <c r="F90" s="58"/>
      <c r="G90" s="59"/>
      <c r="H90" s="58">
        <f t="shared" ref="H90" si="22">G90*D90</f>
        <v>0</v>
      </c>
      <c r="I90" s="58">
        <f t="shared" si="13"/>
        <v>0</v>
      </c>
      <c r="J90" s="4"/>
      <c r="K90" s="4"/>
      <c r="L90" s="4"/>
      <c r="M90" s="103"/>
    </row>
    <row r="91" spans="1:14" x14ac:dyDescent="0.2">
      <c r="A91" s="52"/>
      <c r="B91" s="104" t="s">
        <v>212</v>
      </c>
      <c r="C91" s="4" t="s">
        <v>183</v>
      </c>
      <c r="D91" s="105">
        <f>D90*0.1*0.5</f>
        <v>56.69</v>
      </c>
      <c r="E91" s="4"/>
      <c r="F91" s="58">
        <f t="shared" ref="F91" si="23">E91*D91</f>
        <v>0</v>
      </c>
      <c r="G91" s="59"/>
      <c r="H91" s="58"/>
      <c r="I91" s="58">
        <f t="shared" si="13"/>
        <v>0</v>
      </c>
      <c r="J91" s="4"/>
      <c r="K91" s="4"/>
      <c r="L91" s="4"/>
      <c r="M91" s="103"/>
    </row>
    <row r="92" spans="1:14" ht="31.5" x14ac:dyDescent="0.2">
      <c r="A92" s="52" t="s">
        <v>213</v>
      </c>
      <c r="B92" s="24" t="s">
        <v>214</v>
      </c>
      <c r="C92" s="4" t="s">
        <v>45</v>
      </c>
      <c r="D92" s="26">
        <v>99</v>
      </c>
      <c r="E92" s="4"/>
      <c r="F92" s="58"/>
      <c r="G92" s="59"/>
      <c r="H92" s="58">
        <f t="shared" ref="H92" si="24">G92*D92</f>
        <v>0</v>
      </c>
      <c r="I92" s="58">
        <f t="shared" si="13"/>
        <v>0</v>
      </c>
      <c r="J92" s="4"/>
      <c r="K92" s="4"/>
      <c r="L92" s="4"/>
      <c r="M92" s="103"/>
    </row>
    <row r="93" spans="1:14" x14ac:dyDescent="0.2">
      <c r="A93" s="52"/>
      <c r="B93" s="104" t="s">
        <v>212</v>
      </c>
      <c r="C93" s="4" t="s">
        <v>183</v>
      </c>
      <c r="D93" s="105">
        <f>D92*0.25*0.38*2*0.5</f>
        <v>9.41</v>
      </c>
      <c r="E93" s="4"/>
      <c r="F93" s="58">
        <f t="shared" ref="F93" si="25">E93*D93</f>
        <v>0</v>
      </c>
      <c r="G93" s="59"/>
      <c r="H93" s="58"/>
      <c r="I93" s="58">
        <f t="shared" si="13"/>
        <v>0</v>
      </c>
      <c r="J93" s="4"/>
      <c r="K93" s="4"/>
      <c r="L93" s="4"/>
      <c r="M93" s="103"/>
    </row>
    <row r="94" spans="1:14" ht="31.5" x14ac:dyDescent="0.2">
      <c r="A94" s="52" t="s">
        <v>213</v>
      </c>
      <c r="B94" s="24" t="s">
        <v>215</v>
      </c>
      <c r="C94" s="4" t="s">
        <v>45</v>
      </c>
      <c r="D94" s="26">
        <v>10</v>
      </c>
      <c r="E94" s="4"/>
      <c r="F94" s="58"/>
      <c r="G94" s="59"/>
      <c r="H94" s="58">
        <f t="shared" ref="H94" si="26">G94*D94</f>
        <v>0</v>
      </c>
      <c r="I94" s="58">
        <f t="shared" si="13"/>
        <v>0</v>
      </c>
      <c r="J94" s="4"/>
      <c r="K94" s="4"/>
      <c r="L94" s="4"/>
      <c r="M94" s="103"/>
    </row>
    <row r="95" spans="1:14" x14ac:dyDescent="0.2">
      <c r="A95" s="52"/>
      <c r="B95" s="104" t="s">
        <v>212</v>
      </c>
      <c r="C95" s="4" t="s">
        <v>183</v>
      </c>
      <c r="D95" s="105">
        <f>D94*0.69*0.5</f>
        <v>3.45</v>
      </c>
      <c r="E95" s="4"/>
      <c r="F95" s="58">
        <f t="shared" ref="F95" si="27">E95*D95</f>
        <v>0</v>
      </c>
      <c r="G95" s="59"/>
      <c r="H95" s="58"/>
      <c r="I95" s="58">
        <f t="shared" si="13"/>
        <v>0</v>
      </c>
      <c r="J95" s="4"/>
      <c r="K95" s="4"/>
      <c r="L95" s="4"/>
      <c r="M95" s="103"/>
    </row>
    <row r="96" spans="1:14" ht="31.5" x14ac:dyDescent="0.2">
      <c r="A96" s="52" t="s">
        <v>216</v>
      </c>
      <c r="B96" s="24" t="s">
        <v>217</v>
      </c>
      <c r="C96" s="4" t="s">
        <v>45</v>
      </c>
      <c r="D96" s="26">
        <v>224</v>
      </c>
      <c r="E96" s="4"/>
      <c r="F96" s="58"/>
      <c r="G96" s="59"/>
      <c r="H96" s="58">
        <f t="shared" ref="H96" si="28">G96*D96</f>
        <v>0</v>
      </c>
      <c r="I96" s="58">
        <f t="shared" si="13"/>
        <v>0</v>
      </c>
      <c r="J96" s="4"/>
      <c r="K96" s="4"/>
      <c r="L96" s="4"/>
      <c r="M96" s="103"/>
    </row>
    <row r="97" spans="1:13" x14ac:dyDescent="0.2">
      <c r="A97" s="52"/>
      <c r="B97" s="104" t="s">
        <v>218</v>
      </c>
      <c r="C97" s="4" t="s">
        <v>183</v>
      </c>
      <c r="D97" s="26">
        <f>D96</f>
        <v>224</v>
      </c>
      <c r="E97" s="4"/>
      <c r="F97" s="58">
        <f t="shared" ref="F97" si="29">E97*D97</f>
        <v>0</v>
      </c>
      <c r="G97" s="59"/>
      <c r="H97" s="58"/>
      <c r="I97" s="58">
        <f t="shared" si="13"/>
        <v>0</v>
      </c>
      <c r="J97" s="4"/>
      <c r="K97" s="4"/>
      <c r="L97" s="4"/>
      <c r="M97" s="103"/>
    </row>
    <row r="98" spans="1:13" x14ac:dyDescent="0.2">
      <c r="A98" s="52" t="s">
        <v>219</v>
      </c>
      <c r="B98" s="24" t="s">
        <v>220</v>
      </c>
      <c r="C98" s="4" t="s">
        <v>45</v>
      </c>
      <c r="D98" s="26">
        <v>119</v>
      </c>
      <c r="E98" s="4"/>
      <c r="F98" s="58"/>
      <c r="G98" s="59"/>
      <c r="H98" s="58">
        <f t="shared" ref="H98" si="30">G98*D98</f>
        <v>0</v>
      </c>
      <c r="I98" s="58">
        <f t="shared" si="13"/>
        <v>0</v>
      </c>
      <c r="J98" s="4"/>
      <c r="K98" s="4"/>
      <c r="L98" s="4"/>
      <c r="M98" s="103"/>
    </row>
    <row r="99" spans="1:13" ht="31.5" x14ac:dyDescent="0.2">
      <c r="A99" s="52"/>
      <c r="B99" s="104" t="s">
        <v>221</v>
      </c>
      <c r="C99" s="4" t="s">
        <v>183</v>
      </c>
      <c r="D99" s="26">
        <f>D98*18</f>
        <v>2142</v>
      </c>
      <c r="E99" s="4"/>
      <c r="F99" s="58">
        <f t="shared" ref="F99" si="31">E99*D99</f>
        <v>0</v>
      </c>
      <c r="G99" s="59"/>
      <c r="H99" s="58"/>
      <c r="I99" s="58">
        <f t="shared" si="13"/>
        <v>0</v>
      </c>
      <c r="J99" s="4"/>
      <c r="K99" s="4"/>
      <c r="L99" s="4"/>
      <c r="M99" s="103"/>
    </row>
    <row r="100" spans="1:13" x14ac:dyDescent="0.2">
      <c r="A100" s="96" t="s">
        <v>222</v>
      </c>
      <c r="B100" s="48" t="s">
        <v>223</v>
      </c>
      <c r="C100" s="49"/>
      <c r="D100" s="88"/>
      <c r="E100" s="49"/>
      <c r="F100" s="56">
        <f>SUM(F101:F119)</f>
        <v>0</v>
      </c>
      <c r="G100" s="57"/>
      <c r="H100" s="56">
        <f>SUM(H101:H119)</f>
        <v>0</v>
      </c>
      <c r="I100" s="56">
        <f>SUM(I101:I119)</f>
        <v>0</v>
      </c>
      <c r="J100" s="49"/>
      <c r="K100" s="49"/>
      <c r="L100" s="49"/>
      <c r="M100" s="50"/>
    </row>
    <row r="101" spans="1:13" ht="31.5" x14ac:dyDescent="0.2">
      <c r="A101" s="52" t="s">
        <v>224</v>
      </c>
      <c r="B101" s="24" t="s">
        <v>242</v>
      </c>
      <c r="C101" s="4" t="s">
        <v>21</v>
      </c>
      <c r="D101" s="4">
        <f>158.75+18.02</f>
        <v>176.77</v>
      </c>
      <c r="E101" s="4"/>
      <c r="F101" s="58"/>
      <c r="G101" s="59"/>
      <c r="H101" s="58">
        <f t="shared" ref="H101:H102" si="32">G101*D101</f>
        <v>0</v>
      </c>
      <c r="I101" s="58">
        <f t="shared" ref="I101:I119" si="33">H101+F101</f>
        <v>0</v>
      </c>
      <c r="J101" s="4"/>
      <c r="K101" s="4"/>
      <c r="L101" s="4"/>
      <c r="M101" s="103"/>
    </row>
    <row r="102" spans="1:13" x14ac:dyDescent="0.2">
      <c r="A102" s="52" t="s">
        <v>225</v>
      </c>
      <c r="B102" s="24" t="s">
        <v>226</v>
      </c>
      <c r="C102" s="4" t="s">
        <v>21</v>
      </c>
      <c r="D102" s="4">
        <f>158.75+18.02</f>
        <v>176.77</v>
      </c>
      <c r="E102" s="4"/>
      <c r="F102" s="58"/>
      <c r="G102" s="59"/>
      <c r="H102" s="58">
        <f t="shared" si="32"/>
        <v>0</v>
      </c>
      <c r="I102" s="58">
        <f t="shared" si="33"/>
        <v>0</v>
      </c>
      <c r="J102" s="4"/>
      <c r="K102" s="4"/>
      <c r="L102" s="4"/>
      <c r="M102" s="103"/>
    </row>
    <row r="103" spans="1:13" x14ac:dyDescent="0.2">
      <c r="A103" s="52"/>
      <c r="B103" s="104" t="s">
        <v>227</v>
      </c>
      <c r="C103" s="4" t="s">
        <v>71</v>
      </c>
      <c r="D103" s="105">
        <f>D102*0.2</f>
        <v>35.35</v>
      </c>
      <c r="E103" s="4"/>
      <c r="F103" s="58">
        <f t="shared" ref="F103" si="34">E103*D103</f>
        <v>0</v>
      </c>
      <c r="G103" s="59"/>
      <c r="H103" s="58"/>
      <c r="I103" s="58">
        <f t="shared" si="33"/>
        <v>0</v>
      </c>
      <c r="J103" s="4"/>
      <c r="K103" s="4"/>
      <c r="L103" s="4"/>
      <c r="M103" s="103"/>
    </row>
    <row r="104" spans="1:13" x14ac:dyDescent="0.2">
      <c r="A104" s="52" t="s">
        <v>228</v>
      </c>
      <c r="B104" s="24" t="s">
        <v>229</v>
      </c>
      <c r="C104" s="4" t="s">
        <v>21</v>
      </c>
      <c r="D104" s="4">
        <f>158.75+18.02</f>
        <v>176.77</v>
      </c>
      <c r="E104" s="4"/>
      <c r="F104" s="58"/>
      <c r="G104" s="59"/>
      <c r="H104" s="58">
        <f t="shared" ref="H104" si="35">G104*D104</f>
        <v>0</v>
      </c>
      <c r="I104" s="58">
        <f t="shared" si="33"/>
        <v>0</v>
      </c>
      <c r="J104" s="4"/>
      <c r="K104" s="4"/>
      <c r="L104" s="4"/>
      <c r="M104" s="103"/>
    </row>
    <row r="105" spans="1:13" x14ac:dyDescent="0.2">
      <c r="A105" s="52"/>
      <c r="B105" s="104" t="s">
        <v>230</v>
      </c>
      <c r="C105" s="4" t="s">
        <v>183</v>
      </c>
      <c r="D105" s="105">
        <f>D104*0.25*2</f>
        <v>88.39</v>
      </c>
      <c r="E105" s="4"/>
      <c r="F105" s="58">
        <f t="shared" ref="F105" si="36">E105*D105</f>
        <v>0</v>
      </c>
      <c r="G105" s="59"/>
      <c r="H105" s="58"/>
      <c r="I105" s="58">
        <f t="shared" si="33"/>
        <v>0</v>
      </c>
      <c r="J105" s="4"/>
      <c r="K105" s="4"/>
      <c r="L105" s="4"/>
      <c r="M105" s="103"/>
    </row>
    <row r="106" spans="1:13" x14ac:dyDescent="0.2">
      <c r="A106" s="52" t="s">
        <v>231</v>
      </c>
      <c r="B106" s="24" t="s">
        <v>232</v>
      </c>
      <c r="C106" s="4" t="s">
        <v>21</v>
      </c>
      <c r="D106" s="4">
        <f>158.75</f>
        <v>158.75</v>
      </c>
      <c r="E106" s="4"/>
      <c r="F106" s="58"/>
      <c r="G106" s="59"/>
      <c r="H106" s="58">
        <f t="shared" ref="H106" si="37">G106*D106</f>
        <v>0</v>
      </c>
      <c r="I106" s="58">
        <f t="shared" si="33"/>
        <v>0</v>
      </c>
      <c r="J106" s="4"/>
      <c r="K106" s="4"/>
      <c r="L106" s="4"/>
      <c r="M106" s="103"/>
    </row>
    <row r="107" spans="1:13" ht="31.5" x14ac:dyDescent="0.2">
      <c r="A107" s="52"/>
      <c r="B107" s="104" t="s">
        <v>233</v>
      </c>
      <c r="C107" s="4" t="s">
        <v>73</v>
      </c>
      <c r="D107" s="4">
        <f>D106*0.08*1.1</f>
        <v>13.97</v>
      </c>
      <c r="E107" s="4"/>
      <c r="F107" s="58">
        <f t="shared" ref="F107" si="38">E107*D107</f>
        <v>0</v>
      </c>
      <c r="G107" s="59"/>
      <c r="H107" s="58"/>
      <c r="I107" s="58">
        <f t="shared" si="33"/>
        <v>0</v>
      </c>
      <c r="J107" s="4"/>
      <c r="K107" s="4"/>
      <c r="L107" s="4"/>
      <c r="M107" s="103"/>
    </row>
    <row r="108" spans="1:13" x14ac:dyDescent="0.2">
      <c r="A108" s="52" t="s">
        <v>234</v>
      </c>
      <c r="B108" s="24" t="s">
        <v>232</v>
      </c>
      <c r="C108" s="4" t="s">
        <v>21</v>
      </c>
      <c r="D108" s="4">
        <f>18.02</f>
        <v>18.02</v>
      </c>
      <c r="E108" s="4"/>
      <c r="F108" s="58"/>
      <c r="G108" s="59"/>
      <c r="H108" s="58">
        <f t="shared" ref="H108" si="39">G108*D108</f>
        <v>0</v>
      </c>
      <c r="I108" s="58">
        <f t="shared" si="33"/>
        <v>0</v>
      </c>
      <c r="J108" s="4"/>
      <c r="K108" s="4"/>
      <c r="L108" s="4"/>
      <c r="M108" s="103"/>
    </row>
    <row r="109" spans="1:13" ht="31.5" x14ac:dyDescent="0.2">
      <c r="A109" s="52"/>
      <c r="B109" s="104" t="s">
        <v>235</v>
      </c>
      <c r="C109" s="4" t="s">
        <v>73</v>
      </c>
      <c r="D109" s="105">
        <f>D108*0.05*1.1</f>
        <v>0.99</v>
      </c>
      <c r="E109" s="4"/>
      <c r="F109" s="58">
        <f t="shared" ref="F109" si="40">E109*D109</f>
        <v>0</v>
      </c>
      <c r="G109" s="59"/>
      <c r="H109" s="58"/>
      <c r="I109" s="58">
        <f t="shared" si="33"/>
        <v>0</v>
      </c>
      <c r="J109" s="4"/>
      <c r="K109" s="4"/>
      <c r="L109" s="4"/>
      <c r="M109" s="103"/>
    </row>
    <row r="110" spans="1:13" x14ac:dyDescent="0.2">
      <c r="A110" s="52" t="s">
        <v>236</v>
      </c>
      <c r="B110" s="24" t="s">
        <v>229</v>
      </c>
      <c r="C110" s="4" t="s">
        <v>21</v>
      </c>
      <c r="D110" s="4">
        <f>158.75+18.02</f>
        <v>176.77</v>
      </c>
      <c r="E110" s="4"/>
      <c r="F110" s="58"/>
      <c r="G110" s="59"/>
      <c r="H110" s="58">
        <f t="shared" ref="H110" si="41">G110*D110</f>
        <v>0</v>
      </c>
      <c r="I110" s="58">
        <f t="shared" si="33"/>
        <v>0</v>
      </c>
      <c r="J110" s="4"/>
      <c r="K110" s="4"/>
      <c r="L110" s="4"/>
      <c r="M110" s="103"/>
    </row>
    <row r="111" spans="1:13" x14ac:dyDescent="0.2">
      <c r="A111" s="52"/>
      <c r="B111" s="104" t="s">
        <v>230</v>
      </c>
      <c r="C111" s="4" t="s">
        <v>183</v>
      </c>
      <c r="D111" s="105">
        <f>D110*0.25*2</f>
        <v>88.39</v>
      </c>
      <c r="E111" s="4"/>
      <c r="F111" s="58">
        <f t="shared" ref="F111" si="42">E111*D111</f>
        <v>0</v>
      </c>
      <c r="G111" s="59"/>
      <c r="H111" s="58"/>
      <c r="I111" s="58">
        <f t="shared" si="33"/>
        <v>0</v>
      </c>
      <c r="J111" s="4"/>
      <c r="K111" s="4"/>
      <c r="L111" s="4"/>
      <c r="M111" s="103"/>
    </row>
    <row r="112" spans="1:13" ht="47.25" x14ac:dyDescent="0.2">
      <c r="A112" s="52" t="s">
        <v>237</v>
      </c>
      <c r="B112" s="24" t="s">
        <v>243</v>
      </c>
      <c r="C112" s="4" t="s">
        <v>21</v>
      </c>
      <c r="D112" s="4">
        <f>158.75+18.02+70</f>
        <v>246.77</v>
      </c>
      <c r="E112" s="4"/>
      <c r="F112" s="58"/>
      <c r="G112" s="59"/>
      <c r="H112" s="58">
        <f t="shared" ref="H112" si="43">G112*D112</f>
        <v>0</v>
      </c>
      <c r="I112" s="58">
        <f t="shared" si="33"/>
        <v>0</v>
      </c>
      <c r="J112" s="4"/>
      <c r="K112" s="4"/>
      <c r="L112" s="4"/>
      <c r="M112" s="103"/>
    </row>
    <row r="113" spans="1:13" x14ac:dyDescent="0.2">
      <c r="A113" s="52"/>
      <c r="B113" s="104" t="s">
        <v>238</v>
      </c>
      <c r="C113" s="4" t="s">
        <v>21</v>
      </c>
      <c r="D113" s="105">
        <f>D112*2*1.1</f>
        <v>542.89</v>
      </c>
      <c r="E113" s="4"/>
      <c r="F113" s="58">
        <f t="shared" ref="F113" si="44">E113*D113</f>
        <v>0</v>
      </c>
      <c r="G113" s="59"/>
      <c r="H113" s="58"/>
      <c r="I113" s="58">
        <f t="shared" si="33"/>
        <v>0</v>
      </c>
      <c r="J113" s="4"/>
      <c r="K113" s="4"/>
      <c r="L113" s="4"/>
      <c r="M113" s="103"/>
    </row>
    <row r="114" spans="1:13" ht="78.75" x14ac:dyDescent="0.2">
      <c r="A114" s="52" t="s">
        <v>239</v>
      </c>
      <c r="B114" s="83" t="s">
        <v>247</v>
      </c>
      <c r="C114" s="4" t="s">
        <v>21</v>
      </c>
      <c r="D114" s="4">
        <f>158.75</f>
        <v>158.75</v>
      </c>
      <c r="E114" s="4"/>
      <c r="F114" s="58"/>
      <c r="G114" s="59"/>
      <c r="H114" s="58">
        <f t="shared" ref="H114" si="45">G114*D114</f>
        <v>0</v>
      </c>
      <c r="I114" s="58">
        <f t="shared" si="33"/>
        <v>0</v>
      </c>
      <c r="J114" s="4"/>
      <c r="K114" s="4"/>
      <c r="L114" s="4"/>
      <c r="M114" s="103"/>
    </row>
    <row r="115" spans="1:13" x14ac:dyDescent="0.2">
      <c r="A115" s="52"/>
      <c r="B115" s="54" t="s">
        <v>244</v>
      </c>
      <c r="C115" s="65" t="s">
        <v>73</v>
      </c>
      <c r="D115" s="60">
        <f>D114*0.1*1.015</f>
        <v>16.11</v>
      </c>
      <c r="E115" s="46"/>
      <c r="F115" s="66">
        <f t="shared" ref="F115:F116" si="46">E115*D115</f>
        <v>0</v>
      </c>
      <c r="G115" s="59"/>
      <c r="H115" s="66"/>
      <c r="I115" s="58">
        <f t="shared" si="33"/>
        <v>0</v>
      </c>
      <c r="J115" s="4"/>
      <c r="K115" s="4"/>
      <c r="L115" s="4"/>
      <c r="M115" s="103"/>
    </row>
    <row r="116" spans="1:13" x14ac:dyDescent="0.2">
      <c r="A116" s="52"/>
      <c r="B116" s="54" t="s">
        <v>171</v>
      </c>
      <c r="C116" s="65" t="s">
        <v>21</v>
      </c>
      <c r="D116" s="60">
        <f>D114*1.2</f>
        <v>190.5</v>
      </c>
      <c r="E116" s="46"/>
      <c r="F116" s="66">
        <f t="shared" si="46"/>
        <v>0</v>
      </c>
      <c r="G116" s="59"/>
      <c r="H116" s="66"/>
      <c r="I116" s="58">
        <f t="shared" si="33"/>
        <v>0</v>
      </c>
      <c r="J116" s="4"/>
      <c r="K116" s="4"/>
      <c r="L116" s="4"/>
      <c r="M116" s="103"/>
    </row>
    <row r="117" spans="1:13" x14ac:dyDescent="0.2">
      <c r="A117" s="10" t="s">
        <v>240</v>
      </c>
      <c r="B117" s="89" t="s">
        <v>84</v>
      </c>
      <c r="C117" s="46" t="s">
        <v>21</v>
      </c>
      <c r="D117" s="4">
        <f>158.75+18.02</f>
        <v>176.77</v>
      </c>
      <c r="E117" s="62"/>
      <c r="F117" s="46"/>
      <c r="G117" s="46"/>
      <c r="H117" s="58">
        <f>G117*D117</f>
        <v>0</v>
      </c>
      <c r="I117" s="58">
        <f t="shared" si="33"/>
        <v>0</v>
      </c>
      <c r="J117" s="63"/>
      <c r="K117" s="63"/>
      <c r="L117" s="63"/>
      <c r="M117" s="61"/>
    </row>
    <row r="118" spans="1:13" x14ac:dyDescent="0.2">
      <c r="A118" s="10"/>
      <c r="B118" s="90" t="s">
        <v>74</v>
      </c>
      <c r="C118" s="46" t="s">
        <v>21</v>
      </c>
      <c r="D118" s="60">
        <f>D117</f>
        <v>176.77</v>
      </c>
      <c r="E118" s="62"/>
      <c r="F118" s="58">
        <f>E118*D118</f>
        <v>0</v>
      </c>
      <c r="G118" s="59"/>
      <c r="H118" s="58"/>
      <c r="I118" s="58">
        <f t="shared" si="33"/>
        <v>0</v>
      </c>
      <c r="J118" s="63"/>
      <c r="K118" s="63"/>
      <c r="L118" s="63"/>
      <c r="M118" s="61"/>
    </row>
    <row r="119" spans="1:13" x14ac:dyDescent="0.2">
      <c r="A119" s="10"/>
      <c r="B119" s="90" t="s">
        <v>75</v>
      </c>
      <c r="C119" s="46" t="s">
        <v>21</v>
      </c>
      <c r="D119" s="60">
        <f>D117</f>
        <v>176.77</v>
      </c>
      <c r="E119" s="62"/>
      <c r="F119" s="58">
        <f>E119*D119</f>
        <v>0</v>
      </c>
      <c r="G119" s="59"/>
      <c r="H119" s="58"/>
      <c r="I119" s="58">
        <f t="shared" si="33"/>
        <v>0</v>
      </c>
      <c r="J119" s="63"/>
      <c r="K119" s="63"/>
      <c r="L119" s="63"/>
      <c r="M119" s="61"/>
    </row>
    <row r="120" spans="1:13" ht="31.5" x14ac:dyDescent="0.2">
      <c r="A120" s="67"/>
      <c r="B120" s="79" t="s">
        <v>72</v>
      </c>
      <c r="C120" s="68"/>
      <c r="D120" s="69"/>
      <c r="E120" s="70"/>
      <c r="F120" s="80">
        <f>F9+F26+F39+F43+F75+F100</f>
        <v>0</v>
      </c>
      <c r="G120" s="81"/>
      <c r="H120" s="80">
        <f>H9+H26+H39+H43+H75+H100</f>
        <v>0</v>
      </c>
      <c r="I120" s="80">
        <f>I9+I26+I39+I43+I75+I100</f>
        <v>0</v>
      </c>
      <c r="J120" s="7"/>
      <c r="K120" s="71"/>
      <c r="L120" s="78"/>
      <c r="M120" s="72"/>
    </row>
    <row r="121" spans="1:13" x14ac:dyDescent="0.2">
      <c r="A121" s="73"/>
      <c r="B121" s="74" t="s">
        <v>86</v>
      </c>
      <c r="C121" s="75"/>
      <c r="D121" s="76"/>
      <c r="E121" s="77"/>
      <c r="F121" s="77"/>
      <c r="G121" s="77"/>
      <c r="H121" s="77"/>
      <c r="I121" s="82">
        <f>I120/122*22</f>
        <v>0</v>
      </c>
      <c r="J121" s="7"/>
      <c r="K121" s="7"/>
      <c r="L121" s="7"/>
      <c r="M121" s="72"/>
    </row>
    <row r="124" spans="1:13" ht="12.75" x14ac:dyDescent="0.2">
      <c r="A124" s="124">
        <v>1</v>
      </c>
      <c r="B124" s="125" t="s">
        <v>249</v>
      </c>
      <c r="C124" s="126" t="s">
        <v>250</v>
      </c>
      <c r="D124" s="126"/>
      <c r="E124" s="127" t="s">
        <v>251</v>
      </c>
      <c r="F124" s="127"/>
      <c r="G124" s="127"/>
    </row>
    <row r="125" spans="1:13" ht="12.75" x14ac:dyDescent="0.2">
      <c r="A125" s="124">
        <v>2</v>
      </c>
      <c r="B125" s="125" t="s">
        <v>252</v>
      </c>
      <c r="C125" s="128" t="s">
        <v>253</v>
      </c>
      <c r="D125" s="128"/>
      <c r="E125" s="127"/>
      <c r="F125" s="127"/>
      <c r="G125" s="127"/>
    </row>
    <row r="126" spans="1:13" ht="12.75" x14ac:dyDescent="0.2">
      <c r="A126" s="124">
        <v>3</v>
      </c>
      <c r="B126" s="125" t="s">
        <v>254</v>
      </c>
      <c r="C126" s="128" t="s">
        <v>255</v>
      </c>
      <c r="D126" s="128"/>
      <c r="E126" s="127"/>
      <c r="F126" s="127"/>
      <c r="G126" s="127"/>
    </row>
    <row r="127" spans="1:13" ht="63.75" x14ac:dyDescent="0.2">
      <c r="A127" s="124">
        <v>4</v>
      </c>
      <c r="B127" s="125" t="s">
        <v>256</v>
      </c>
      <c r="C127" s="128" t="s">
        <v>255</v>
      </c>
      <c r="D127" s="128"/>
      <c r="E127" s="127"/>
      <c r="F127" s="127"/>
      <c r="G127" s="127"/>
    </row>
    <row r="128" spans="1:13" ht="25.5" x14ac:dyDescent="0.2">
      <c r="A128" s="124">
        <v>5</v>
      </c>
      <c r="B128" s="125" t="s">
        <v>257</v>
      </c>
      <c r="C128" s="128" t="s">
        <v>258</v>
      </c>
      <c r="D128" s="128"/>
      <c r="E128" s="127"/>
      <c r="F128" s="127"/>
      <c r="G128" s="127"/>
    </row>
    <row r="129" spans="1:7" ht="25.5" x14ac:dyDescent="0.2">
      <c r="A129" s="124">
        <v>6</v>
      </c>
      <c r="B129" s="125" t="s">
        <v>259</v>
      </c>
      <c r="C129" s="128" t="s">
        <v>260</v>
      </c>
      <c r="D129" s="128"/>
      <c r="E129" s="127"/>
      <c r="F129" s="127"/>
      <c r="G129" s="127"/>
    </row>
    <row r="130" spans="1:7" ht="12.75" x14ac:dyDescent="0.2">
      <c r="A130" s="124">
        <v>7</v>
      </c>
      <c r="B130" s="125" t="s">
        <v>261</v>
      </c>
      <c r="C130" s="128" t="s">
        <v>262</v>
      </c>
      <c r="D130" s="128"/>
      <c r="E130" s="127"/>
      <c r="F130" s="127"/>
      <c r="G130" s="127"/>
    </row>
    <row r="131" spans="1:7" ht="12.75" x14ac:dyDescent="0.2">
      <c r="A131" s="124">
        <v>8</v>
      </c>
      <c r="B131" s="125" t="s">
        <v>263</v>
      </c>
      <c r="C131" s="128" t="s">
        <v>264</v>
      </c>
      <c r="D131" s="128"/>
      <c r="E131" s="127"/>
      <c r="F131" s="127"/>
      <c r="G131" s="127"/>
    </row>
    <row r="132" spans="1:7" ht="12.75" x14ac:dyDescent="0.2">
      <c r="A132" s="124">
        <v>9</v>
      </c>
      <c r="B132" s="125" t="s">
        <v>265</v>
      </c>
      <c r="C132" s="128" t="s">
        <v>266</v>
      </c>
      <c r="D132" s="128"/>
      <c r="E132" s="127"/>
      <c r="F132" s="127"/>
      <c r="G132" s="127"/>
    </row>
    <row r="133" spans="1:7" ht="12.75" x14ac:dyDescent="0.2">
      <c r="A133" s="124">
        <v>10</v>
      </c>
      <c r="B133" s="125" t="s">
        <v>267</v>
      </c>
      <c r="C133" s="128" t="s">
        <v>268</v>
      </c>
      <c r="D133" s="128"/>
      <c r="E133" s="127"/>
      <c r="F133" s="127"/>
      <c r="G133" s="127"/>
    </row>
    <row r="134" spans="1:7" ht="25.5" x14ac:dyDescent="0.2">
      <c r="A134" s="124">
        <v>11</v>
      </c>
      <c r="B134" s="125" t="s">
        <v>269</v>
      </c>
      <c r="C134" s="128" t="s">
        <v>270</v>
      </c>
      <c r="D134" s="128"/>
      <c r="E134" s="127"/>
      <c r="F134" s="127"/>
      <c r="G134" s="127"/>
    </row>
    <row r="135" spans="1:7" ht="38.25" x14ac:dyDescent="0.2">
      <c r="A135" s="124">
        <v>12</v>
      </c>
      <c r="B135" s="125" t="s">
        <v>271</v>
      </c>
      <c r="C135" s="128" t="s">
        <v>272</v>
      </c>
      <c r="D135" s="128"/>
      <c r="E135" s="127"/>
      <c r="F135" s="127"/>
      <c r="G135" s="127"/>
    </row>
    <row r="136" spans="1:7" ht="161.25" customHeight="1" x14ac:dyDescent="0.2">
      <c r="A136" s="124">
        <v>13</v>
      </c>
      <c r="B136" s="125" t="s">
        <v>273</v>
      </c>
      <c r="C136" s="128" t="s">
        <v>274</v>
      </c>
      <c r="D136" s="128"/>
      <c r="E136" s="129" t="s">
        <v>275</v>
      </c>
      <c r="F136" s="127"/>
      <c r="G136" s="127"/>
    </row>
  </sheetData>
  <autoFilter ref="A15:L41" xr:uid="{00000000-0009-0000-0000-000000000000}"/>
  <mergeCells count="42">
    <mergeCell ref="C136:D136"/>
    <mergeCell ref="E136:G136"/>
    <mergeCell ref="C133:D133"/>
    <mergeCell ref="E133:G133"/>
    <mergeCell ref="C134:D134"/>
    <mergeCell ref="E134:G134"/>
    <mergeCell ref="C135:D135"/>
    <mergeCell ref="E135:G135"/>
    <mergeCell ref="C130:D130"/>
    <mergeCell ref="E130:G130"/>
    <mergeCell ref="C131:D131"/>
    <mergeCell ref="E131:G131"/>
    <mergeCell ref="C132:D132"/>
    <mergeCell ref="E132:G132"/>
    <mergeCell ref="C127:D127"/>
    <mergeCell ref="E127:G127"/>
    <mergeCell ref="C128:D128"/>
    <mergeCell ref="E128:G128"/>
    <mergeCell ref="C129:D129"/>
    <mergeCell ref="E129:G129"/>
    <mergeCell ref="C124:D124"/>
    <mergeCell ref="E124:G124"/>
    <mergeCell ref="C125:D125"/>
    <mergeCell ref="E125:G125"/>
    <mergeCell ref="C126:D126"/>
    <mergeCell ref="E126:G126"/>
    <mergeCell ref="M13:M14"/>
    <mergeCell ref="I13:I14"/>
    <mergeCell ref="J13:K13"/>
    <mergeCell ref="L13:L14"/>
    <mergeCell ref="A13:A14"/>
    <mergeCell ref="B13:B14"/>
    <mergeCell ref="C13:C14"/>
    <mergeCell ref="D13:D14"/>
    <mergeCell ref="E13:F13"/>
    <mergeCell ref="G13:H13"/>
    <mergeCell ref="A11:L11"/>
    <mergeCell ref="A1:L1"/>
    <mergeCell ref="A2:L2"/>
    <mergeCell ref="A3:L3"/>
    <mergeCell ref="A9:L9"/>
    <mergeCell ref="A10:L1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view="pageBreakPreview" topLeftCell="A4" zoomScale="85" zoomScaleNormal="40" zoomScaleSheetLayoutView="85" workbookViewId="0">
      <pane xSplit="4" ySplit="8" topLeftCell="E12" activePane="bottomRight" state="frozen"/>
      <selection activeCell="A4" sqref="A4"/>
      <selection pane="topRight" activeCell="E4" sqref="E4"/>
      <selection pane="bottomLeft" activeCell="A7" sqref="A7"/>
      <selection pane="bottomRight" activeCell="Q28" sqref="Q28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</cols>
  <sheetData>
    <row r="1" spans="1:13" ht="17.25" customHeight="1" x14ac:dyDescent="0.2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6.5" customHeight="1" x14ac:dyDescent="0.2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3" ht="38.25" customHeight="1" x14ac:dyDescent="0.2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8"/>
    </row>
    <row r="4" spans="1:13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 ht="18" customHeight="1" x14ac:dyDescent="0.2">
      <c r="A5" s="115" t="s">
        <v>16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3" ht="16.5" customHeight="1" x14ac:dyDescent="0.2">
      <c r="A6" s="115" t="s">
        <v>18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3" ht="30" customHeight="1" x14ac:dyDescent="0.2">
      <c r="A7" s="115" t="s">
        <v>17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3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3" ht="30" customHeight="1" x14ac:dyDescent="0.2">
      <c r="A9" s="121" t="s">
        <v>0</v>
      </c>
      <c r="B9" s="121" t="s">
        <v>3</v>
      </c>
      <c r="C9" s="121" t="s">
        <v>1</v>
      </c>
      <c r="D9" s="121" t="s">
        <v>2</v>
      </c>
      <c r="E9" s="121" t="s">
        <v>8</v>
      </c>
      <c r="F9" s="121"/>
      <c r="G9" s="121" t="s">
        <v>9</v>
      </c>
      <c r="H9" s="121"/>
      <c r="I9" s="121" t="s">
        <v>4</v>
      </c>
      <c r="J9" s="121" t="s">
        <v>10</v>
      </c>
      <c r="K9" s="121"/>
      <c r="L9" s="119" t="s">
        <v>6</v>
      </c>
    </row>
    <row r="10" spans="1:13" ht="30" customHeight="1" x14ac:dyDescent="0.2">
      <c r="A10" s="121"/>
      <c r="B10" s="121"/>
      <c r="C10" s="121"/>
      <c r="D10" s="121"/>
      <c r="E10" s="4" t="s">
        <v>5</v>
      </c>
      <c r="F10" s="4" t="s">
        <v>7</v>
      </c>
      <c r="G10" s="4" t="s">
        <v>5</v>
      </c>
      <c r="H10" s="4" t="s">
        <v>7</v>
      </c>
      <c r="I10" s="121"/>
      <c r="J10" s="4" t="s">
        <v>11</v>
      </c>
      <c r="K10" s="4" t="s">
        <v>12</v>
      </c>
      <c r="L10" s="120"/>
      <c r="M10" s="4" t="s">
        <v>32</v>
      </c>
    </row>
    <row r="11" spans="1:13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3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3" s="9" customFormat="1" ht="15.75" x14ac:dyDescent="0.2">
      <c r="A13" s="5"/>
      <c r="B13" s="25" t="s">
        <v>20</v>
      </c>
      <c r="C13" s="4" t="s">
        <v>21</v>
      </c>
      <c r="D13" s="4">
        <v>1730</v>
      </c>
      <c r="E13" s="4"/>
      <c r="F13" s="4"/>
      <c r="G13" s="4"/>
      <c r="H13" s="4"/>
      <c r="I13" s="4"/>
      <c r="J13" s="4"/>
      <c r="K13" s="4"/>
      <c r="L13" s="4"/>
    </row>
    <row r="14" spans="1:13" s="9" customFormat="1" ht="15.75" x14ac:dyDescent="0.2">
      <c r="A14" s="5"/>
      <c r="B14" s="8" t="s">
        <v>38</v>
      </c>
      <c r="C14" s="4" t="s">
        <v>21</v>
      </c>
      <c r="D14" s="4">
        <f>D13</f>
        <v>1730</v>
      </c>
      <c r="E14" s="4"/>
      <c r="F14" s="4"/>
      <c r="G14" s="4"/>
      <c r="H14" s="4"/>
      <c r="I14" s="4"/>
      <c r="J14" s="4"/>
      <c r="K14" s="4"/>
      <c r="L14" s="4"/>
    </row>
    <row r="15" spans="1:13" s="9" customFormat="1" ht="15.75" x14ac:dyDescent="0.2">
      <c r="A15" s="5"/>
      <c r="B15" s="25" t="s">
        <v>36</v>
      </c>
      <c r="C15" s="4" t="s">
        <v>21</v>
      </c>
      <c r="D15" s="4">
        <v>1730</v>
      </c>
      <c r="E15" s="4"/>
      <c r="F15" s="4"/>
      <c r="G15" s="4"/>
      <c r="H15" s="4"/>
      <c r="I15" s="4"/>
      <c r="J15" s="4"/>
      <c r="K15" s="4"/>
      <c r="L15" s="4"/>
    </row>
    <row r="16" spans="1:13" s="9" customFormat="1" ht="15.75" x14ac:dyDescent="0.2">
      <c r="A16" s="5"/>
      <c r="B16" s="8" t="s">
        <v>37</v>
      </c>
      <c r="C16" s="4" t="s">
        <v>21</v>
      </c>
      <c r="D16" s="4">
        <f>D15*1.1</f>
        <v>1903</v>
      </c>
      <c r="E16" s="4"/>
      <c r="F16" s="4"/>
      <c r="G16" s="4"/>
      <c r="H16" s="4"/>
      <c r="I16" s="4"/>
      <c r="J16" s="4"/>
      <c r="K16" s="4"/>
      <c r="L16" s="4"/>
    </row>
    <row r="17" spans="1:14" s="9" customFormat="1" ht="15.75" x14ac:dyDescent="0.2">
      <c r="A17" s="5"/>
      <c r="B17" s="8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4" s="9" customFormat="1" ht="15.75" x14ac:dyDescent="0.2">
      <c r="A18" s="5"/>
      <c r="B18" s="27" t="s">
        <v>22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4" s="9" customFormat="1" ht="15.75" x14ac:dyDescent="0.2">
      <c r="A19" s="5"/>
      <c r="B19" s="27" t="s">
        <v>24</v>
      </c>
      <c r="C19" s="4" t="s">
        <v>21</v>
      </c>
      <c r="D19" s="4">
        <v>3840</v>
      </c>
      <c r="E19" s="4"/>
      <c r="F19" s="4"/>
      <c r="G19" s="4"/>
      <c r="H19" s="4"/>
      <c r="I19" s="4"/>
      <c r="J19" s="4"/>
      <c r="K19" s="4"/>
      <c r="L19" s="4"/>
    </row>
    <row r="20" spans="1:14" s="9" customFormat="1" ht="15.75" x14ac:dyDescent="0.2">
      <c r="A20" s="5"/>
      <c r="B20" s="28" t="s">
        <v>39</v>
      </c>
      <c r="C20" s="4" t="s">
        <v>40</v>
      </c>
      <c r="D20" s="26">
        <f>D19*1.2*20/25</f>
        <v>3686</v>
      </c>
      <c r="E20" s="4"/>
      <c r="F20" s="4"/>
      <c r="G20" s="4"/>
      <c r="H20" s="4"/>
      <c r="I20" s="4"/>
      <c r="J20" s="4"/>
      <c r="K20" s="4"/>
      <c r="L20" s="4"/>
    </row>
    <row r="21" spans="1:14" s="9" customFormat="1" ht="15.75" x14ac:dyDescent="0.2">
      <c r="A21" s="5"/>
      <c r="B21" s="27" t="s">
        <v>41</v>
      </c>
      <c r="C21" s="4" t="s">
        <v>21</v>
      </c>
      <c r="D21" s="4">
        <f>3835</f>
        <v>3835</v>
      </c>
      <c r="E21" s="4"/>
      <c r="F21" s="4"/>
      <c r="G21" s="4"/>
      <c r="H21" s="4"/>
      <c r="I21" s="4"/>
      <c r="J21" s="4"/>
      <c r="K21" s="4"/>
      <c r="L21" s="4"/>
    </row>
    <row r="22" spans="1:14" s="9" customFormat="1" ht="15.75" x14ac:dyDescent="0.2">
      <c r="A22" s="5"/>
      <c r="B22" s="28" t="s">
        <v>44</v>
      </c>
      <c r="C22" s="4" t="s">
        <v>45</v>
      </c>
      <c r="D22" s="26">
        <f>201/3*2*1.2</f>
        <v>161</v>
      </c>
      <c r="E22" s="4"/>
      <c r="F22" s="4"/>
      <c r="G22" s="4"/>
      <c r="H22" s="4"/>
      <c r="I22" s="4"/>
      <c r="J22" s="4"/>
      <c r="K22" s="4"/>
      <c r="L22" s="4"/>
    </row>
    <row r="23" spans="1:14" s="9" customFormat="1" ht="15.75" x14ac:dyDescent="0.2">
      <c r="A23" s="5"/>
      <c r="B23" s="28" t="s">
        <v>46</v>
      </c>
      <c r="C23" s="4" t="s">
        <v>45</v>
      </c>
      <c r="D23" s="4">
        <f>210/0.6</f>
        <v>350</v>
      </c>
      <c r="E23" s="4"/>
      <c r="F23" s="4"/>
      <c r="G23" s="4"/>
      <c r="H23" s="4"/>
      <c r="I23" s="4"/>
      <c r="J23" s="4"/>
      <c r="K23" s="4"/>
      <c r="L23" s="4"/>
    </row>
    <row r="24" spans="1:14" s="9" customFormat="1" ht="15.75" x14ac:dyDescent="0.2">
      <c r="A24" s="5"/>
      <c r="B24" s="28" t="s">
        <v>47</v>
      </c>
      <c r="C24" s="4" t="s">
        <v>45</v>
      </c>
      <c r="D24" s="26">
        <f>D21/3*1.1</f>
        <v>1406</v>
      </c>
      <c r="E24" s="4"/>
      <c r="F24" s="4"/>
      <c r="G24" s="4"/>
      <c r="H24" s="4"/>
      <c r="I24" s="4"/>
      <c r="J24" s="4"/>
      <c r="K24" s="4"/>
      <c r="L24" s="4"/>
      <c r="M24" s="9">
        <f>2.5*1.2</f>
        <v>3</v>
      </c>
    </row>
    <row r="25" spans="1:14" s="9" customFormat="1" ht="15.75" x14ac:dyDescent="0.2">
      <c r="A25" s="5"/>
      <c r="B25" s="28" t="s">
        <v>48</v>
      </c>
      <c r="C25" s="4" t="s">
        <v>45</v>
      </c>
      <c r="D25" s="4">
        <f>38*2</f>
        <v>76</v>
      </c>
      <c r="E25" s="4"/>
      <c r="F25" s="4"/>
      <c r="G25" s="4"/>
      <c r="H25" s="4"/>
      <c r="I25" s="4"/>
      <c r="J25" s="4"/>
      <c r="K25" s="4"/>
      <c r="L25" s="4"/>
      <c r="M25" s="9">
        <f>9+10+9+10</f>
        <v>38</v>
      </c>
    </row>
    <row r="26" spans="1:14" s="9" customFormat="1" ht="15.75" x14ac:dyDescent="0.2">
      <c r="A26" s="5"/>
      <c r="B26" s="27" t="s">
        <v>42</v>
      </c>
      <c r="C26" s="4" t="s">
        <v>21</v>
      </c>
      <c r="D26" s="4">
        <f>(0.9+1.4)*4*0.6</f>
        <v>5.52</v>
      </c>
      <c r="E26" s="4"/>
      <c r="F26" s="4"/>
      <c r="G26" s="4"/>
      <c r="H26" s="4"/>
      <c r="I26" s="4"/>
      <c r="J26" s="4"/>
      <c r="K26" s="4"/>
      <c r="L26" s="4"/>
    </row>
    <row r="27" spans="1:14" s="9" customFormat="1" ht="15.75" x14ac:dyDescent="0.2">
      <c r="A27" s="5"/>
      <c r="B27" s="28" t="s">
        <v>43</v>
      </c>
      <c r="C27" s="4" t="s">
        <v>21</v>
      </c>
      <c r="D27" s="4">
        <f>(0.9+1.4)*4*0.6</f>
        <v>5.52</v>
      </c>
      <c r="E27" s="4"/>
      <c r="F27" s="4"/>
      <c r="G27" s="4"/>
      <c r="H27" s="4"/>
      <c r="I27" s="4"/>
      <c r="J27" s="4"/>
      <c r="K27" s="4"/>
      <c r="L27" s="4"/>
    </row>
    <row r="28" spans="1:14" s="9" customFormat="1" ht="15.75" x14ac:dyDescent="0.2">
      <c r="A28" s="5"/>
      <c r="B28" s="27" t="s">
        <v>49</v>
      </c>
      <c r="C28" s="4" t="s">
        <v>21</v>
      </c>
      <c r="D28" s="4">
        <f>D21</f>
        <v>3835</v>
      </c>
      <c r="E28" s="4"/>
      <c r="F28" s="4"/>
      <c r="G28" s="4"/>
      <c r="H28" s="4"/>
      <c r="I28" s="4"/>
      <c r="J28" s="4"/>
      <c r="K28" s="4"/>
      <c r="L28" s="4"/>
    </row>
    <row r="29" spans="1:14" s="9" customFormat="1" ht="15.75" x14ac:dyDescent="0.2">
      <c r="A29" s="5"/>
      <c r="B29" s="28" t="s">
        <v>50</v>
      </c>
      <c r="C29" s="4" t="s">
        <v>21</v>
      </c>
      <c r="D29" s="4">
        <f>D28*0.064</f>
        <v>245.44</v>
      </c>
      <c r="E29" s="4"/>
      <c r="F29" s="4"/>
      <c r="G29" s="4"/>
      <c r="H29" s="4"/>
      <c r="I29" s="4"/>
      <c r="J29" s="4"/>
      <c r="K29" s="4"/>
      <c r="L29" s="4"/>
      <c r="M29" s="9">
        <f>(3.7+0.9+1.4+0.9+1.2+4.86+2.3+0.86+0.5+2.7+2+4.5+1.4+1.7+0.64+1.6+0.64+1.4+1.2+0.56+1.6)*2.7+((1.44*(1.38+1.38)))</f>
        <v>102.68640000000001</v>
      </c>
      <c r="N29" s="9">
        <v>109.74</v>
      </c>
    </row>
    <row r="30" spans="1:14" s="9" customFormat="1" ht="15.75" x14ac:dyDescent="0.2">
      <c r="A30" s="5"/>
      <c r="B30" s="28" t="s">
        <v>51</v>
      </c>
      <c r="C30" s="4" t="s">
        <v>21</v>
      </c>
      <c r="D30" s="4">
        <f>D28*0.936</f>
        <v>3589.56</v>
      </c>
      <c r="E30" s="4"/>
      <c r="F30" s="4"/>
      <c r="G30" s="4"/>
      <c r="H30" s="4"/>
      <c r="I30" s="4"/>
      <c r="J30" s="4"/>
      <c r="K30" s="4"/>
      <c r="L30" s="4"/>
      <c r="M30" s="9">
        <f>N29-M29</f>
        <v>7.0535999999999897</v>
      </c>
    </row>
    <row r="31" spans="1:14" s="9" customFormat="1" ht="15.75" x14ac:dyDescent="0.2">
      <c r="A31" s="5"/>
      <c r="B31" s="28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4" s="9" customFormat="1" ht="15.75" x14ac:dyDescent="0.2">
      <c r="A32" s="5"/>
      <c r="B32" s="28"/>
      <c r="C32" s="4"/>
      <c r="D32" s="4"/>
      <c r="E32" s="4"/>
      <c r="F32" s="4"/>
      <c r="G32" s="4"/>
      <c r="H32" s="4"/>
      <c r="I32" s="4"/>
      <c r="J32" s="4"/>
      <c r="K32" s="4"/>
      <c r="L32" s="4"/>
      <c r="M32" s="9">
        <f>M29/N29</f>
        <v>0.93572443958447205</v>
      </c>
    </row>
    <row r="33" spans="1:13" s="9" customFormat="1" ht="15.75" x14ac:dyDescent="0.2">
      <c r="A33" s="5"/>
      <c r="B33" s="28"/>
      <c r="C33" s="4"/>
      <c r="D33" s="4"/>
      <c r="E33" s="4"/>
      <c r="F33" s="4"/>
      <c r="G33" s="4"/>
      <c r="H33" s="4"/>
      <c r="I33" s="4"/>
      <c r="J33" s="4"/>
      <c r="K33" s="4"/>
      <c r="L33" s="4"/>
      <c r="M33" s="9">
        <f>M30/N29</f>
        <v>6.4275560415527497E-2</v>
      </c>
    </row>
    <row r="34" spans="1:13" s="9" customFormat="1" ht="15.75" x14ac:dyDescent="0.2">
      <c r="A34" s="5"/>
      <c r="B34" s="28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3" s="9" customFormat="1" ht="15.75" x14ac:dyDescent="0.2">
      <c r="A35" s="5"/>
      <c r="B35" s="28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 s="9" customFormat="1" ht="15.75" x14ac:dyDescent="0.2">
      <c r="A36" s="5"/>
      <c r="B36" s="28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3" s="9" customFormat="1" ht="15.75" x14ac:dyDescent="0.2">
      <c r="A37" s="5"/>
      <c r="B37" s="28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 s="9" customFormat="1" ht="15.75" x14ac:dyDescent="0.2">
      <c r="A38" s="5"/>
      <c r="B38" s="28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 s="9" customFormat="1" ht="15.75" x14ac:dyDescent="0.2">
      <c r="A39" s="5"/>
      <c r="B39" s="23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 spans="1:13" s="9" customFormat="1" ht="15.75" x14ac:dyDescent="0.2">
      <c r="A40" s="5"/>
      <c r="B40" s="23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3" s="9" customFormat="1" ht="15.75" x14ac:dyDescent="0.2">
      <c r="A41" s="5"/>
      <c r="B41" s="23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 s="9" customFormat="1" ht="15.75" x14ac:dyDescent="0.2">
      <c r="A42" s="5"/>
      <c r="B42" s="23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3" s="9" customFormat="1" ht="15.75" x14ac:dyDescent="0.2">
      <c r="A43" s="5"/>
      <c r="B43" s="23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 s="9" customFormat="1" ht="15.75" x14ac:dyDescent="0.2">
      <c r="A44" s="5"/>
      <c r="B44" s="23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1:13" s="9" customFormat="1" ht="15.75" x14ac:dyDescent="0.2">
      <c r="A45" s="5"/>
      <c r="B45" s="23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3" s="9" customFormat="1" ht="15.75" x14ac:dyDescent="0.2">
      <c r="A46" s="5"/>
      <c r="B46" s="23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 s="9" customFormat="1" ht="15.75" x14ac:dyDescent="0.2">
      <c r="A47" s="5"/>
      <c r="B47" s="23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3" s="9" customFormat="1" ht="15.75" x14ac:dyDescent="0.2">
      <c r="A48" s="5"/>
      <c r="B48" s="23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 spans="1:12" s="9" customFormat="1" ht="15.75" x14ac:dyDescent="0.2">
      <c r="A49" s="5"/>
      <c r="B49" s="23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2" s="9" customFormat="1" ht="15.75" x14ac:dyDescent="0.2">
      <c r="A50" s="5"/>
      <c r="B50" s="2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 spans="1:12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 ht="15.75" x14ac:dyDescent="0.2">
      <c r="A52" s="10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 spans="1:12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2" ht="15.75" x14ac:dyDescent="0.2">
      <c r="A54" s="10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2" ht="15.75" x14ac:dyDescent="0.2">
      <c r="A55" s="11"/>
      <c r="B55" s="12"/>
      <c r="C55" s="13"/>
      <c r="D55" s="14"/>
      <c r="E55" s="12"/>
      <c r="F55" s="12"/>
      <c r="G55" s="12"/>
      <c r="H55" s="12"/>
      <c r="I55" s="15"/>
    </row>
    <row r="56" spans="1:12" ht="15.75" x14ac:dyDescent="0.2">
      <c r="A56" s="11"/>
      <c r="B56" s="12"/>
      <c r="C56" s="13"/>
      <c r="D56" s="14"/>
      <c r="E56" s="12"/>
      <c r="F56" s="12"/>
      <c r="G56" s="12"/>
      <c r="H56" s="12"/>
      <c r="I56" s="15"/>
    </row>
    <row r="57" spans="1:12" ht="15.75" x14ac:dyDescent="0.2">
      <c r="A57" s="11"/>
      <c r="B57" s="12"/>
      <c r="C57" s="13"/>
      <c r="D57" s="14"/>
      <c r="E57" s="12"/>
      <c r="F57" s="12"/>
      <c r="G57" s="12"/>
      <c r="H57" s="12"/>
      <c r="I57" s="15"/>
    </row>
    <row r="58" spans="1:12" ht="15.75" x14ac:dyDescent="0.2">
      <c r="A58" s="11"/>
      <c r="B58" s="12"/>
      <c r="C58" s="13"/>
      <c r="D58" s="14"/>
      <c r="E58" s="12"/>
      <c r="F58" s="12"/>
      <c r="G58" s="12"/>
      <c r="H58" s="12"/>
      <c r="I58" s="15"/>
    </row>
    <row r="59" spans="1:12" ht="15.75" x14ac:dyDescent="0.2">
      <c r="B59" s="12"/>
      <c r="C59" s="13"/>
      <c r="D59" s="14"/>
      <c r="E59" s="12"/>
      <c r="F59" s="12"/>
      <c r="G59" s="12"/>
      <c r="H59" s="12"/>
      <c r="I59" s="15"/>
    </row>
    <row r="60" spans="1:12" x14ac:dyDescent="0.2">
      <c r="B60" s="17"/>
      <c r="C60" s="18"/>
      <c r="D60" s="19"/>
      <c r="E60" s="15"/>
      <c r="F60" s="15"/>
      <c r="G60" s="15"/>
      <c r="H60" s="15"/>
      <c r="I60" s="15"/>
    </row>
  </sheetData>
  <autoFilter ref="A11:L51" xr:uid="{00000000-0009-0000-0000-000001000000}"/>
  <mergeCells count="15">
    <mergeCell ref="A1:L1"/>
    <mergeCell ref="J9:K9"/>
    <mergeCell ref="L9:L10"/>
    <mergeCell ref="A3:L3"/>
    <mergeCell ref="A2:L2"/>
    <mergeCell ref="G9:H9"/>
    <mergeCell ref="I9:I10"/>
    <mergeCell ref="A9:A10"/>
    <mergeCell ref="B9:B10"/>
    <mergeCell ref="C9:C10"/>
    <mergeCell ref="D9:D10"/>
    <mergeCell ref="E9:F9"/>
    <mergeCell ref="A6:L6"/>
    <mergeCell ref="A5:L5"/>
    <mergeCell ref="A7:L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8"/>
  <sheetViews>
    <sheetView view="pageBreakPreview" topLeftCell="A4" zoomScale="70" zoomScaleNormal="40" zoomScaleSheetLayoutView="70" workbookViewId="0">
      <pane xSplit="4" ySplit="8" topLeftCell="L51" activePane="bottomRight" state="frozen"/>
      <selection activeCell="A4" sqref="A4"/>
      <selection pane="topRight" activeCell="E4" sqref="E4"/>
      <selection pane="bottomLeft" activeCell="A7" sqref="A7"/>
      <selection pane="bottomRight" activeCell="S55" sqref="S55:S74"/>
    </sheetView>
  </sheetViews>
  <sheetFormatPr defaultRowHeight="12.75" x14ac:dyDescent="0.2"/>
  <cols>
    <col min="1" max="1" width="8.5" style="16" bestFit="1" customWidth="1"/>
    <col min="2" max="2" width="79.5" customWidth="1"/>
    <col min="3" max="3" width="16.5" style="20" bestFit="1" customWidth="1"/>
    <col min="4" max="4" width="16.6640625" style="21" customWidth="1"/>
    <col min="5" max="8" width="17.83203125" hidden="1" customWidth="1"/>
    <col min="9" max="9" width="20.1640625" hidden="1" customWidth="1"/>
    <col min="10" max="11" width="21.33203125" hidden="1" customWidth="1"/>
    <col min="12" max="12" width="28.5" customWidth="1"/>
    <col min="13" max="13" width="23" customWidth="1"/>
    <col min="14" max="14" width="24" customWidth="1"/>
    <col min="15" max="15" width="29" customWidth="1"/>
    <col min="17" max="17" width="14.83203125" customWidth="1"/>
    <col min="18" max="18" width="11.33203125" bestFit="1" customWidth="1"/>
  </cols>
  <sheetData>
    <row r="1" spans="1:12" ht="17.25" customHeight="1" x14ac:dyDescent="0.2">
      <c r="A1" s="116" t="s">
        <v>13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ht="16.5" customHeight="1" x14ac:dyDescent="0.2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2" ht="38.25" customHeight="1" x14ac:dyDescent="0.2">
      <c r="A3" s="115" t="s">
        <v>15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8"/>
    </row>
    <row r="4" spans="1:12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8" customHeight="1" x14ac:dyDescent="0.2">
      <c r="A5" s="115" t="s">
        <v>16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</row>
    <row r="6" spans="1:12" ht="16.5" customHeight="1" x14ac:dyDescent="0.2">
      <c r="A6" s="115" t="s">
        <v>18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</row>
    <row r="7" spans="1:12" ht="30" customHeight="1" x14ac:dyDescent="0.2">
      <c r="A7" s="115" t="s">
        <v>17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</row>
    <row r="8" spans="1:12" ht="12.7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</row>
    <row r="9" spans="1:12" ht="30" customHeight="1" x14ac:dyDescent="0.2">
      <c r="A9" s="121" t="s">
        <v>0</v>
      </c>
      <c r="B9" s="121" t="s">
        <v>3</v>
      </c>
      <c r="C9" s="121" t="s">
        <v>1</v>
      </c>
      <c r="D9" s="121" t="s">
        <v>2</v>
      </c>
      <c r="E9" s="121" t="s">
        <v>8</v>
      </c>
      <c r="F9" s="121"/>
      <c r="G9" s="121" t="s">
        <v>9</v>
      </c>
      <c r="H9" s="121"/>
      <c r="I9" s="121" t="s">
        <v>4</v>
      </c>
      <c r="J9" s="121" t="s">
        <v>10</v>
      </c>
      <c r="K9" s="121"/>
      <c r="L9" s="119" t="s">
        <v>6</v>
      </c>
    </row>
    <row r="10" spans="1:12" ht="30" customHeight="1" x14ac:dyDescent="0.2">
      <c r="A10" s="121"/>
      <c r="B10" s="121"/>
      <c r="C10" s="121"/>
      <c r="D10" s="121"/>
      <c r="E10" s="4" t="s">
        <v>5</v>
      </c>
      <c r="F10" s="4" t="s">
        <v>7</v>
      </c>
      <c r="G10" s="4" t="s">
        <v>5</v>
      </c>
      <c r="H10" s="4" t="s">
        <v>7</v>
      </c>
      <c r="I10" s="121"/>
      <c r="J10" s="4" t="s">
        <v>11</v>
      </c>
      <c r="K10" s="4" t="s">
        <v>12</v>
      </c>
      <c r="L10" s="120"/>
    </row>
    <row r="11" spans="1:12" ht="15.75" x14ac:dyDescent="0.2">
      <c r="A11" s="5">
        <v>1</v>
      </c>
      <c r="B11" s="6">
        <v>2</v>
      </c>
      <c r="C11" s="5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/>
      <c r="K11" s="7"/>
      <c r="L11" s="7"/>
    </row>
    <row r="12" spans="1:12" ht="31.5" x14ac:dyDescent="0.2">
      <c r="A12" s="5"/>
      <c r="B12" s="25" t="s">
        <v>19</v>
      </c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s="9" customFormat="1" ht="15.75" x14ac:dyDescent="0.2">
      <c r="A13" s="5"/>
      <c r="B13" s="25" t="s">
        <v>20</v>
      </c>
      <c r="C13" s="4" t="s">
        <v>21</v>
      </c>
      <c r="D13" s="4">
        <v>180.17</v>
      </c>
      <c r="E13" s="4"/>
      <c r="F13" s="4"/>
      <c r="G13" s="4"/>
      <c r="H13" s="4"/>
      <c r="I13" s="4"/>
      <c r="J13" s="4"/>
      <c r="K13" s="4"/>
      <c r="L13" s="4"/>
    </row>
    <row r="14" spans="1:12" s="9" customFormat="1" ht="15.75" x14ac:dyDescent="0.2">
      <c r="A14" s="5"/>
      <c r="B14" s="8" t="s">
        <v>25</v>
      </c>
      <c r="C14" s="4" t="s">
        <v>21</v>
      </c>
      <c r="D14" s="4">
        <f>D13</f>
        <v>180.17</v>
      </c>
      <c r="E14" s="4"/>
      <c r="F14" s="4"/>
      <c r="G14" s="4"/>
      <c r="H14" s="4"/>
      <c r="I14" s="4"/>
      <c r="J14" s="4"/>
      <c r="K14" s="4"/>
      <c r="L14" s="4">
        <f>3.57+29.5+42.49+4.98+34.61</f>
        <v>115.15</v>
      </c>
    </row>
    <row r="15" spans="1:12" s="9" customFormat="1" ht="15.75" x14ac:dyDescent="0.2">
      <c r="A15" s="5"/>
      <c r="B15" s="8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s="9" customFormat="1" ht="15.75" x14ac:dyDescent="0.2">
      <c r="A16" s="5"/>
      <c r="B16" s="8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7" s="9" customFormat="1" ht="15.75" x14ac:dyDescent="0.2">
      <c r="A17" s="5"/>
      <c r="B17" s="25" t="s">
        <v>22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7" s="9" customFormat="1" ht="15.75" x14ac:dyDescent="0.2">
      <c r="A18" s="5"/>
      <c r="B18" s="25" t="s">
        <v>24</v>
      </c>
      <c r="C18" s="4" t="s">
        <v>21</v>
      </c>
      <c r="D18" s="4">
        <v>1538.58</v>
      </c>
      <c r="E18" s="4"/>
      <c r="F18" s="4"/>
      <c r="G18" s="4"/>
      <c r="H18" s="4"/>
      <c r="I18" s="4"/>
      <c r="J18" s="4"/>
      <c r="K18" s="4"/>
      <c r="L18" s="4"/>
    </row>
    <row r="19" spans="1:17" s="9" customFormat="1" ht="15.75" x14ac:dyDescent="0.2">
      <c r="A19" s="5"/>
      <c r="B19" s="8" t="s">
        <v>23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7" s="9" customFormat="1" ht="15.75" x14ac:dyDescent="0.2">
      <c r="A20" s="5"/>
      <c r="B20" s="8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7" s="9" customFormat="1" ht="15.75" x14ac:dyDescent="0.2">
      <c r="A21" s="5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7" s="9" customFormat="1" ht="15.75" x14ac:dyDescent="0.2">
      <c r="A22" s="5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7" s="9" customFormat="1" ht="15.75" x14ac:dyDescent="0.2">
      <c r="A23" s="5"/>
      <c r="B23" s="23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7" s="9" customFormat="1" ht="15.75" x14ac:dyDescent="0.2">
      <c r="A24" s="5"/>
      <c r="B24" s="23" t="s">
        <v>26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7" s="9" customFormat="1" ht="15.75" x14ac:dyDescent="0.2">
      <c r="A25" s="5"/>
      <c r="B25" s="8" t="s">
        <v>27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7" s="9" customFormat="1" ht="15.75" x14ac:dyDescent="0.2">
      <c r="A26" s="5"/>
      <c r="B26" s="8" t="s">
        <v>28</v>
      </c>
      <c r="C26" s="4" t="s">
        <v>21</v>
      </c>
      <c r="D26" s="4">
        <v>53.85</v>
      </c>
      <c r="E26" s="4"/>
      <c r="F26" s="4"/>
      <c r="G26" s="4"/>
      <c r="H26" s="4"/>
      <c r="I26" s="4"/>
      <c r="J26" s="4"/>
      <c r="K26" s="4"/>
      <c r="L26" s="3">
        <f>D26*D29-D28</f>
        <v>132.19</v>
      </c>
      <c r="M26" s="40">
        <f>L26*8</f>
        <v>1057.52</v>
      </c>
      <c r="N26" s="40">
        <f>D26*3.4-D28</f>
        <v>164.5</v>
      </c>
      <c r="O26" s="40">
        <f>D26*3.6-D28</f>
        <v>175.27</v>
      </c>
      <c r="P26" s="40"/>
      <c r="Q26" s="40">
        <f>SUM(M26:O26)</f>
        <v>1397.29</v>
      </c>
    </row>
    <row r="27" spans="1:17" s="9" customFormat="1" ht="15.75" x14ac:dyDescent="0.2">
      <c r="A27" s="5"/>
      <c r="B27" s="8" t="s">
        <v>29</v>
      </c>
      <c r="C27" s="4" t="s">
        <v>21</v>
      </c>
      <c r="D27" s="4">
        <v>63.19</v>
      </c>
      <c r="E27" s="4"/>
      <c r="F27" s="4"/>
      <c r="G27" s="4"/>
      <c r="H27" s="4"/>
      <c r="I27" s="4"/>
      <c r="J27" s="4"/>
      <c r="K27" s="4"/>
      <c r="L27" s="4"/>
      <c r="M27" s="40"/>
      <c r="N27" s="40"/>
      <c r="O27" s="40"/>
      <c r="P27" s="40"/>
      <c r="Q27" s="40"/>
    </row>
    <row r="28" spans="1:17" s="9" customFormat="1" ht="15.75" x14ac:dyDescent="0.2">
      <c r="A28" s="5"/>
      <c r="B28" s="8" t="s">
        <v>30</v>
      </c>
      <c r="C28" s="4" t="s">
        <v>21</v>
      </c>
      <c r="D28" s="4">
        <f>0.9*2.1*7+1.1*2.2*1+1.4*2.1*1</f>
        <v>18.59</v>
      </c>
      <c r="E28" s="4"/>
      <c r="F28" s="4"/>
      <c r="G28" s="4"/>
      <c r="H28" s="4"/>
      <c r="I28" s="4"/>
      <c r="J28" s="4"/>
      <c r="K28" s="4"/>
      <c r="L28" s="4"/>
      <c r="M28" s="40"/>
      <c r="N28" s="40"/>
      <c r="O28" s="40"/>
      <c r="P28" s="40"/>
      <c r="Q28" s="40"/>
    </row>
    <row r="29" spans="1:17" s="9" customFormat="1" ht="15.75" x14ac:dyDescent="0.2">
      <c r="A29" s="5"/>
      <c r="B29" s="8" t="s">
        <v>31</v>
      </c>
      <c r="C29" s="4" t="s">
        <v>21</v>
      </c>
      <c r="D29" s="4">
        <v>2.8</v>
      </c>
      <c r="E29" s="4"/>
      <c r="F29" s="4"/>
      <c r="G29" s="4"/>
      <c r="H29" s="4"/>
      <c r="I29" s="4"/>
      <c r="J29" s="4"/>
      <c r="K29" s="4"/>
      <c r="L29" s="4"/>
      <c r="M29" s="41" t="s">
        <v>59</v>
      </c>
      <c r="N29" s="41" t="s">
        <v>60</v>
      </c>
      <c r="O29" s="40"/>
      <c r="P29" s="40"/>
      <c r="Q29" s="40"/>
    </row>
    <row r="30" spans="1:17" s="9" customFormat="1" ht="15.75" x14ac:dyDescent="0.2">
      <c r="A30" s="5"/>
      <c r="B30" s="23"/>
      <c r="C30" s="4"/>
      <c r="D30" s="4"/>
      <c r="E30" s="4"/>
      <c r="F30" s="4"/>
      <c r="G30" s="4"/>
      <c r="H30" s="4"/>
      <c r="I30" s="4"/>
      <c r="J30" s="4"/>
      <c r="K30" s="4"/>
      <c r="L30" s="4"/>
      <c r="M30" s="40"/>
      <c r="N30" s="40"/>
      <c r="O30" s="40"/>
      <c r="P30" s="40"/>
      <c r="Q30" s="40"/>
    </row>
    <row r="31" spans="1:17" s="9" customFormat="1" ht="15.75" x14ac:dyDescent="0.2">
      <c r="A31" s="5"/>
      <c r="B31" s="8" t="s">
        <v>34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0"/>
      <c r="N31" s="40"/>
      <c r="O31" s="40"/>
      <c r="P31" s="40"/>
      <c r="Q31" s="40"/>
    </row>
    <row r="32" spans="1:17" s="9" customFormat="1" ht="15.75" x14ac:dyDescent="0.2">
      <c r="A32" s="5"/>
      <c r="B32" s="8" t="s">
        <v>28</v>
      </c>
      <c r="C32" s="4" t="s">
        <v>21</v>
      </c>
      <c r="D32" s="4">
        <v>53.68</v>
      </c>
      <c r="E32" s="4"/>
      <c r="F32" s="4"/>
      <c r="G32" s="4"/>
      <c r="H32" s="4"/>
      <c r="I32" s="4"/>
      <c r="J32" s="4"/>
      <c r="K32" s="4"/>
      <c r="L32" s="3">
        <f>D32*D35-D34</f>
        <v>128.149</v>
      </c>
      <c r="M32" s="40">
        <f>L32*8</f>
        <v>1025.19</v>
      </c>
      <c r="N32" s="40">
        <f>D32*3.4-D34</f>
        <v>160.36000000000001</v>
      </c>
      <c r="O32" s="40">
        <f>D32*3.6-D34</f>
        <v>171.09</v>
      </c>
      <c r="P32" s="40"/>
      <c r="Q32" s="40">
        <f>SUM(M32:O32)</f>
        <v>1356.64</v>
      </c>
    </row>
    <row r="33" spans="1:17" s="9" customFormat="1" ht="15.75" x14ac:dyDescent="0.2">
      <c r="A33" s="5"/>
      <c r="B33" s="8" t="s">
        <v>29</v>
      </c>
      <c r="C33" s="4" t="s">
        <v>21</v>
      </c>
      <c r="D33" s="4">
        <v>67.73</v>
      </c>
      <c r="E33" s="4"/>
      <c r="F33" s="4"/>
      <c r="G33" s="4"/>
      <c r="H33" s="4"/>
      <c r="I33" s="4"/>
      <c r="J33" s="4"/>
      <c r="K33" s="4"/>
      <c r="L33" s="4"/>
      <c r="M33" s="40"/>
      <c r="N33" s="40"/>
      <c r="O33" s="40"/>
      <c r="P33" s="40"/>
      <c r="Q33" s="40"/>
    </row>
    <row r="34" spans="1:17" s="9" customFormat="1" ht="15.75" x14ac:dyDescent="0.2">
      <c r="A34" s="5"/>
      <c r="B34" s="8" t="s">
        <v>30</v>
      </c>
      <c r="C34" s="4" t="s">
        <v>21</v>
      </c>
      <c r="D34" s="4">
        <f>1.35*2.1*1+1.05*2.1*6+0.9*2.1*2+1.1*2.1*1</f>
        <v>22.155000000000001</v>
      </c>
      <c r="E34" s="4"/>
      <c r="F34" s="4"/>
      <c r="G34" s="4"/>
      <c r="H34" s="4"/>
      <c r="I34" s="4"/>
      <c r="J34" s="4"/>
      <c r="K34" s="4"/>
      <c r="L34" s="4"/>
      <c r="M34" s="40"/>
      <c r="N34" s="40"/>
      <c r="O34" s="40"/>
      <c r="P34" s="40"/>
      <c r="Q34" s="40"/>
    </row>
    <row r="35" spans="1:17" s="9" customFormat="1" ht="15.75" x14ac:dyDescent="0.2">
      <c r="A35" s="5"/>
      <c r="B35" s="8" t="s">
        <v>31</v>
      </c>
      <c r="C35" s="4" t="s">
        <v>21</v>
      </c>
      <c r="D35" s="4">
        <v>2.8</v>
      </c>
      <c r="E35" s="4"/>
      <c r="F35" s="4"/>
      <c r="G35" s="4"/>
      <c r="H35" s="4"/>
      <c r="I35" s="4"/>
      <c r="J35" s="4"/>
      <c r="K35" s="4"/>
      <c r="L35" s="4"/>
      <c r="M35" s="40"/>
      <c r="N35" s="40"/>
      <c r="O35" s="40"/>
      <c r="P35" s="40"/>
      <c r="Q35" s="40"/>
    </row>
    <row r="36" spans="1:17" s="9" customFormat="1" ht="15.75" x14ac:dyDescent="0.2">
      <c r="A36" s="5"/>
      <c r="B36" s="8"/>
      <c r="C36" s="4"/>
      <c r="D36" s="4"/>
      <c r="E36" s="4"/>
      <c r="F36" s="4"/>
      <c r="G36" s="4"/>
      <c r="H36" s="4"/>
      <c r="I36" s="4"/>
      <c r="J36" s="4"/>
      <c r="K36" s="4"/>
      <c r="L36" s="4"/>
      <c r="M36" s="40"/>
      <c r="N36" s="40"/>
      <c r="O36" s="40"/>
      <c r="P36" s="40"/>
      <c r="Q36" s="40"/>
    </row>
    <row r="37" spans="1:17" s="9" customFormat="1" ht="15.75" x14ac:dyDescent="0.2">
      <c r="A37" s="5"/>
      <c r="B37" s="8" t="s">
        <v>35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0"/>
      <c r="N37" s="40"/>
      <c r="O37" s="40"/>
      <c r="P37" s="40"/>
      <c r="Q37" s="40"/>
    </row>
    <row r="38" spans="1:17" s="9" customFormat="1" ht="15.75" x14ac:dyDescent="0.2">
      <c r="A38" s="5"/>
      <c r="B38" s="8" t="s">
        <v>28</v>
      </c>
      <c r="C38" s="4" t="s">
        <v>21</v>
      </c>
      <c r="D38" s="4">
        <v>50</v>
      </c>
      <c r="E38" s="4"/>
      <c r="F38" s="4"/>
      <c r="G38" s="4"/>
      <c r="H38" s="4"/>
      <c r="I38" s="4"/>
      <c r="J38" s="4"/>
      <c r="K38" s="4"/>
      <c r="L38" s="3">
        <f>D38*D41-D40</f>
        <v>113.834</v>
      </c>
      <c r="M38" s="40">
        <f>L38*8</f>
        <v>910.67</v>
      </c>
      <c r="N38" s="40">
        <f>D38*3.4-D40</f>
        <v>143.83000000000001</v>
      </c>
      <c r="O38" s="40">
        <f>D38*3.6-D40</f>
        <v>153.83000000000001</v>
      </c>
      <c r="P38" s="40"/>
      <c r="Q38" s="40">
        <f>SUM(M38:O38)</f>
        <v>1208.33</v>
      </c>
    </row>
    <row r="39" spans="1:17" s="9" customFormat="1" ht="15.75" x14ac:dyDescent="0.2">
      <c r="A39" s="5"/>
      <c r="B39" s="8" t="s">
        <v>29</v>
      </c>
      <c r="C39" s="4" t="s">
        <v>21</v>
      </c>
      <c r="D39" s="4">
        <v>61.92</v>
      </c>
      <c r="E39" s="4"/>
      <c r="F39" s="4"/>
      <c r="G39" s="4"/>
      <c r="H39" s="4"/>
      <c r="I39" s="4"/>
      <c r="J39" s="4"/>
      <c r="K39" s="4"/>
      <c r="L39" s="4"/>
      <c r="M39" s="40"/>
      <c r="N39" s="40"/>
      <c r="O39" s="40"/>
      <c r="P39" s="40"/>
      <c r="Q39" s="40"/>
    </row>
    <row r="40" spans="1:17" s="9" customFormat="1" ht="15.75" x14ac:dyDescent="0.2">
      <c r="A40" s="5"/>
      <c r="B40" s="8" t="s">
        <v>30</v>
      </c>
      <c r="C40" s="4" t="s">
        <v>21</v>
      </c>
      <c r="D40" s="4">
        <f>1.05*2.1*5+1.16*2.1*1+1.35*2.1*3+0.9*2.1*1+1.1*2.1*1</f>
        <v>26.166</v>
      </c>
      <c r="E40" s="4"/>
      <c r="F40" s="4"/>
      <c r="G40" s="4"/>
      <c r="H40" s="4"/>
      <c r="I40" s="4"/>
      <c r="J40" s="4"/>
      <c r="K40" s="4"/>
      <c r="L40" s="4"/>
      <c r="M40" s="40"/>
      <c r="N40" s="40"/>
      <c r="O40" s="40"/>
      <c r="P40" s="40"/>
      <c r="Q40" s="40"/>
    </row>
    <row r="41" spans="1:17" s="9" customFormat="1" ht="15.75" x14ac:dyDescent="0.2">
      <c r="A41" s="5"/>
      <c r="B41" s="8" t="s">
        <v>31</v>
      </c>
      <c r="C41" s="4" t="s">
        <v>21</v>
      </c>
      <c r="D41" s="4">
        <v>2.8</v>
      </c>
      <c r="E41" s="4"/>
      <c r="F41" s="4"/>
      <c r="G41" s="4"/>
      <c r="H41" s="4"/>
      <c r="I41" s="4"/>
      <c r="J41" s="4"/>
      <c r="K41" s="4"/>
      <c r="L41" s="4"/>
      <c r="M41" s="40"/>
      <c r="N41" s="40"/>
      <c r="O41" s="40"/>
      <c r="P41" s="40"/>
      <c r="Q41" s="40"/>
    </row>
    <row r="42" spans="1:17" s="9" customFormat="1" ht="15.75" x14ac:dyDescent="0.2">
      <c r="A42" s="5"/>
      <c r="B42" s="24"/>
      <c r="C42" s="4"/>
      <c r="D42" s="4"/>
      <c r="E42" s="4"/>
      <c r="F42" s="4"/>
      <c r="G42" s="4"/>
      <c r="H42" s="4"/>
      <c r="I42" s="4"/>
      <c r="J42" s="4"/>
      <c r="K42" s="4"/>
      <c r="L42" s="4"/>
      <c r="M42" s="40"/>
      <c r="N42" s="40"/>
      <c r="O42" s="40"/>
      <c r="P42" s="40"/>
      <c r="Q42" s="40"/>
    </row>
    <row r="43" spans="1:17" s="9" customFormat="1" ht="15.75" x14ac:dyDescent="0.2">
      <c r="A43" s="5"/>
      <c r="B43" s="8" t="s">
        <v>33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0"/>
      <c r="N43" s="40"/>
      <c r="O43" s="40"/>
      <c r="P43" s="40"/>
      <c r="Q43" s="40"/>
    </row>
    <row r="44" spans="1:17" s="9" customFormat="1" ht="15.75" x14ac:dyDescent="0.2">
      <c r="A44" s="5"/>
      <c r="B44" s="8" t="s">
        <v>28</v>
      </c>
      <c r="C44" s="4" t="s">
        <v>21</v>
      </c>
      <c r="D44" s="4">
        <v>51.32</v>
      </c>
      <c r="E44" s="4"/>
      <c r="F44" s="4"/>
      <c r="G44" s="4"/>
      <c r="H44" s="4"/>
      <c r="I44" s="4"/>
      <c r="J44" s="4"/>
      <c r="K44" s="4"/>
      <c r="L44" s="3">
        <f>D44*D47-D46</f>
        <v>118.496</v>
      </c>
      <c r="M44" s="40">
        <f>L44*8</f>
        <v>947.97</v>
      </c>
      <c r="N44" s="40">
        <f>D44*3.4-D46</f>
        <v>149.29</v>
      </c>
      <c r="O44" s="40">
        <f>D44*3.6-D46</f>
        <v>159.55000000000001</v>
      </c>
      <c r="P44" s="40"/>
      <c r="Q44" s="40">
        <f>SUM(M44:O44)</f>
        <v>1256.81</v>
      </c>
    </row>
    <row r="45" spans="1:17" s="9" customFormat="1" ht="15.75" x14ac:dyDescent="0.2">
      <c r="A45" s="5"/>
      <c r="B45" s="8" t="s">
        <v>29</v>
      </c>
      <c r="C45" s="4" t="s">
        <v>21</v>
      </c>
      <c r="D45" s="4">
        <v>66.69</v>
      </c>
      <c r="E45" s="4"/>
      <c r="F45" s="4"/>
      <c r="G45" s="4"/>
      <c r="H45" s="4"/>
      <c r="I45" s="4"/>
      <c r="J45" s="4"/>
      <c r="K45" s="4"/>
      <c r="L45" s="4"/>
      <c r="M45" s="40"/>
      <c r="N45" s="40"/>
      <c r="O45" s="40"/>
      <c r="P45" s="40"/>
      <c r="Q45" s="40"/>
    </row>
    <row r="46" spans="1:17" s="9" customFormat="1" ht="15.75" x14ac:dyDescent="0.2">
      <c r="A46" s="5"/>
      <c r="B46" s="8" t="s">
        <v>30</v>
      </c>
      <c r="C46" s="4" t="s">
        <v>21</v>
      </c>
      <c r="D46" s="4">
        <f>1.01*2.1*5+1.32*2.1*2+1.2*2.1*1+0.9*2.1*1+1.4*2.1*1+0.81*2.1*1</f>
        <v>25.2</v>
      </c>
      <c r="E46" s="4"/>
      <c r="F46" s="4"/>
      <c r="G46" s="4"/>
      <c r="H46" s="4"/>
      <c r="I46" s="4"/>
      <c r="J46" s="4"/>
      <c r="K46" s="4"/>
      <c r="L46" s="4"/>
      <c r="M46" s="40"/>
      <c r="N46" s="40"/>
      <c r="O46" s="40"/>
      <c r="P46" s="40"/>
      <c r="Q46" s="40"/>
    </row>
    <row r="47" spans="1:17" s="9" customFormat="1" ht="15.75" x14ac:dyDescent="0.2">
      <c r="A47" s="5"/>
      <c r="B47" s="8" t="s">
        <v>31</v>
      </c>
      <c r="C47" s="4" t="s">
        <v>21</v>
      </c>
      <c r="D47" s="4">
        <v>2.8</v>
      </c>
      <c r="E47" s="4"/>
      <c r="F47" s="4"/>
      <c r="G47" s="4"/>
      <c r="H47" s="4"/>
      <c r="I47" s="4"/>
      <c r="J47" s="4"/>
      <c r="K47" s="4"/>
      <c r="L47" s="4"/>
      <c r="M47" s="40">
        <f>D45+D39+D33+D28</f>
        <v>214.93</v>
      </c>
      <c r="N47" s="40"/>
      <c r="O47" s="40"/>
      <c r="P47" s="40"/>
      <c r="Q47" s="40"/>
    </row>
    <row r="48" spans="1:17" s="9" customFormat="1" ht="15.75" x14ac:dyDescent="0.2">
      <c r="A48" s="5"/>
      <c r="B48" s="24"/>
      <c r="C48" s="4"/>
      <c r="D48" s="4"/>
      <c r="E48" s="4"/>
      <c r="F48" s="4"/>
      <c r="G48" s="4"/>
      <c r="H48" s="4"/>
      <c r="I48" s="4"/>
      <c r="J48" s="4"/>
      <c r="K48" s="4"/>
      <c r="L48" s="4"/>
      <c r="M48" s="40"/>
      <c r="N48" s="40"/>
      <c r="O48" s="40"/>
      <c r="P48" s="40"/>
      <c r="Q48" s="40"/>
    </row>
    <row r="49" spans="1:26" s="9" customFormat="1" ht="15.75" x14ac:dyDescent="0.2">
      <c r="A49" s="5"/>
      <c r="B49" s="24"/>
      <c r="C49" s="4"/>
      <c r="D49" s="4"/>
      <c r="E49" s="4"/>
      <c r="F49" s="4"/>
      <c r="G49" s="4"/>
      <c r="H49" s="4"/>
      <c r="I49" s="4"/>
      <c r="J49" s="4"/>
      <c r="K49" s="4"/>
      <c r="L49" s="4"/>
      <c r="M49" s="40"/>
      <c r="N49" s="40"/>
      <c r="O49" s="40" t="s">
        <v>58</v>
      </c>
      <c r="P49" s="40"/>
      <c r="Q49" s="40">
        <f>SUM(Q26:Q48)</f>
        <v>5219.07</v>
      </c>
    </row>
    <row r="50" spans="1:26" s="9" customFormat="1" ht="15.75" x14ac:dyDescent="0.2">
      <c r="A50" s="5"/>
      <c r="B50" s="24"/>
      <c r="C50" s="4"/>
      <c r="D50" s="4">
        <f>D44+D38+D32+D26</f>
        <v>208.85</v>
      </c>
      <c r="E50" s="4"/>
      <c r="F50" s="4"/>
      <c r="G50" s="4"/>
      <c r="H50" s="4"/>
      <c r="I50" s="4"/>
      <c r="J50" s="4"/>
      <c r="K50" s="4"/>
      <c r="L50" s="4">
        <f>SUM(L26:L49)</f>
        <v>492.66899999999998</v>
      </c>
    </row>
    <row r="51" spans="1:26" ht="15.75" x14ac:dyDescent="0.2">
      <c r="A51" s="10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26" ht="15.75" x14ac:dyDescent="0.2">
      <c r="A52" s="10"/>
      <c r="B52" s="4"/>
      <c r="C52" s="4"/>
      <c r="D52" s="4">
        <f>D50*9</f>
        <v>1879.65</v>
      </c>
      <c r="E52" s="4"/>
      <c r="F52" s="4"/>
      <c r="G52" s="4"/>
      <c r="H52" s="4"/>
      <c r="I52" s="4"/>
      <c r="J52" s="4"/>
      <c r="K52" s="4"/>
      <c r="L52" s="4">
        <f>L50*9</f>
        <v>4434.0209999999997</v>
      </c>
    </row>
    <row r="53" spans="1:26" ht="15.75" x14ac:dyDescent="0.2">
      <c r="A53" s="10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26" ht="15.75" x14ac:dyDescent="0.2">
      <c r="A54" s="10"/>
      <c r="B54" s="8" t="s">
        <v>52</v>
      </c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26" ht="15.75" x14ac:dyDescent="0.2">
      <c r="A55" s="29"/>
      <c r="B55" s="8" t="s">
        <v>28</v>
      </c>
      <c r="C55" s="30"/>
      <c r="D55" s="39">
        <v>15.02</v>
      </c>
      <c r="E55" s="32"/>
      <c r="F55" s="32"/>
      <c r="G55" s="32"/>
      <c r="H55" s="32"/>
      <c r="I55" s="33"/>
      <c r="J55" s="34"/>
      <c r="K55" s="34"/>
      <c r="L55" s="3">
        <f>D55*D58-D57</f>
        <v>36.775599999999997</v>
      </c>
      <c r="M55" s="40">
        <f>L55*8</f>
        <v>294.2</v>
      </c>
      <c r="N55" s="40">
        <f>D55*3.3-D57</f>
        <v>44.59</v>
      </c>
      <c r="O55" s="40">
        <f>D55*5.15-D57</f>
        <v>72.37</v>
      </c>
      <c r="P55" s="40"/>
      <c r="Q55" s="40">
        <f>D55*2.33-D57</f>
        <v>30.02</v>
      </c>
      <c r="R55" s="42">
        <f>SUM(M55:Q55)</f>
        <v>441.18</v>
      </c>
      <c r="S55" s="42">
        <v>441.18</v>
      </c>
      <c r="W55">
        <f>195.85*2+90*2</f>
        <v>571.70000000000005</v>
      </c>
    </row>
    <row r="56" spans="1:26" ht="15.75" x14ac:dyDescent="0.2">
      <c r="A56" s="29"/>
      <c r="B56" s="8" t="s">
        <v>29</v>
      </c>
      <c r="C56" s="30"/>
      <c r="D56" s="39">
        <v>16.2</v>
      </c>
      <c r="E56" s="32"/>
      <c r="F56" s="32"/>
      <c r="G56" s="32"/>
      <c r="H56" s="32"/>
      <c r="I56" s="33"/>
      <c r="J56" s="34"/>
      <c r="K56" s="34"/>
      <c r="L56" s="34"/>
      <c r="Z56">
        <f>D56*0.2*11</f>
        <v>35.64</v>
      </c>
    </row>
    <row r="57" spans="1:26" ht="15.75" x14ac:dyDescent="0.2">
      <c r="A57" s="29"/>
      <c r="B57" s="8" t="s">
        <v>30</v>
      </c>
      <c r="C57" s="30"/>
      <c r="D57" s="39">
        <f>1.3*1.65+1.35*2.1</f>
        <v>4.9800000000000004</v>
      </c>
      <c r="E57" s="32"/>
      <c r="F57" s="32"/>
      <c r="G57" s="32"/>
      <c r="H57" s="32"/>
      <c r="I57" s="33"/>
      <c r="J57" s="34"/>
      <c r="K57" s="34"/>
      <c r="L57" s="34"/>
    </row>
    <row r="58" spans="1:26" ht="15.75" x14ac:dyDescent="0.2">
      <c r="A58" s="29"/>
      <c r="B58" s="8" t="s">
        <v>31</v>
      </c>
      <c r="C58" s="30"/>
      <c r="D58" s="39">
        <v>2.78</v>
      </c>
      <c r="E58" s="32"/>
      <c r="F58" s="32"/>
      <c r="G58" s="32"/>
      <c r="H58" s="32"/>
      <c r="I58" s="33"/>
      <c r="J58" s="34"/>
      <c r="K58" s="34"/>
      <c r="L58" s="34"/>
    </row>
    <row r="59" spans="1:26" ht="15.75" x14ac:dyDescent="0.2">
      <c r="A59" s="35"/>
      <c r="B59" s="32"/>
      <c r="C59" s="30"/>
      <c r="D59" s="31"/>
      <c r="E59" s="32"/>
      <c r="F59" s="32"/>
      <c r="G59" s="32"/>
      <c r="H59" s="32"/>
      <c r="I59" s="33"/>
      <c r="J59" s="34"/>
      <c r="K59" s="34"/>
      <c r="L59" s="34"/>
      <c r="W59" s="21">
        <f>(D57+D63+D70+D76)*11</f>
        <v>224.62</v>
      </c>
    </row>
    <row r="60" spans="1:26" ht="15.75" x14ac:dyDescent="0.2">
      <c r="A60" s="35"/>
      <c r="B60" s="8" t="s">
        <v>53</v>
      </c>
      <c r="C60" s="36"/>
      <c r="D60" s="37"/>
      <c r="E60" s="33"/>
      <c r="F60" s="33"/>
      <c r="G60" s="33"/>
      <c r="H60" s="33"/>
      <c r="I60" s="33"/>
      <c r="J60" s="34"/>
      <c r="K60" s="34"/>
      <c r="L60" s="3"/>
      <c r="W60">
        <f>Z56+Z62+Z69+Z75</f>
        <v>143.572</v>
      </c>
    </row>
    <row r="61" spans="1:26" ht="15.75" x14ac:dyDescent="0.2">
      <c r="A61" s="35"/>
      <c r="B61" s="8" t="s">
        <v>28</v>
      </c>
      <c r="C61" s="38"/>
      <c r="D61" s="39">
        <v>14.79</v>
      </c>
      <c r="E61" s="34"/>
      <c r="F61" s="34"/>
      <c r="G61" s="34"/>
      <c r="H61" s="34"/>
      <c r="I61" s="34"/>
      <c r="J61" s="34"/>
      <c r="K61" s="34"/>
      <c r="L61" s="3">
        <f>D61*D64-D63</f>
        <v>35.886200000000002</v>
      </c>
      <c r="M61" s="40">
        <f>L61*8</f>
        <v>287.08999999999997</v>
      </c>
      <c r="N61" s="40">
        <f>D61*3.3-D63</f>
        <v>43.58</v>
      </c>
      <c r="O61" s="40">
        <f>D61*5.15-D63</f>
        <v>70.94</v>
      </c>
      <c r="P61" s="40"/>
      <c r="Q61" s="40">
        <f>D61*2.33-D63</f>
        <v>29.23</v>
      </c>
      <c r="R61" s="42">
        <f>SUM(M61:Q61)</f>
        <v>430.84</v>
      </c>
      <c r="S61" s="42">
        <v>430.84</v>
      </c>
    </row>
    <row r="62" spans="1:26" ht="15.75" x14ac:dyDescent="0.2">
      <c r="A62" s="35"/>
      <c r="B62" s="8" t="s">
        <v>29</v>
      </c>
      <c r="C62" s="38"/>
      <c r="D62" s="39">
        <v>16.579999999999998</v>
      </c>
      <c r="E62" s="34"/>
      <c r="F62" s="34"/>
      <c r="G62" s="34"/>
      <c r="H62" s="34"/>
      <c r="I62" s="34"/>
      <c r="J62" s="34"/>
      <c r="K62" s="34"/>
      <c r="L62" s="34"/>
      <c r="Z62">
        <f>D62*0.2*11</f>
        <v>36.475999999999999</v>
      </c>
    </row>
    <row r="63" spans="1:26" ht="15.75" x14ac:dyDescent="0.2">
      <c r="A63" s="35"/>
      <c r="B63" s="8" t="s">
        <v>30</v>
      </c>
      <c r="C63" s="38"/>
      <c r="D63" s="39">
        <f>1.45*1.65+1.35*2.1</f>
        <v>5.23</v>
      </c>
      <c r="E63" s="34"/>
      <c r="F63" s="34"/>
      <c r="G63" s="34"/>
      <c r="H63" s="34"/>
      <c r="I63" s="34"/>
      <c r="J63" s="34"/>
      <c r="K63" s="34"/>
      <c r="L63" s="34"/>
    </row>
    <row r="64" spans="1:26" ht="15.75" x14ac:dyDescent="0.2">
      <c r="A64" s="35"/>
      <c r="B64" s="8" t="s">
        <v>31</v>
      </c>
      <c r="C64" s="38"/>
      <c r="D64" s="39">
        <v>2.78</v>
      </c>
      <c r="E64" s="34"/>
      <c r="F64" s="34"/>
      <c r="G64" s="34"/>
      <c r="H64" s="34"/>
      <c r="I64" s="34"/>
      <c r="J64" s="34"/>
      <c r="K64" s="34"/>
      <c r="L64" s="34"/>
      <c r="M64" s="4" t="s">
        <v>57</v>
      </c>
      <c r="N64" s="4" t="s">
        <v>56</v>
      </c>
      <c r="O64" s="4" t="s">
        <v>61</v>
      </c>
    </row>
    <row r="65" spans="1:26" x14ac:dyDescent="0.2">
      <c r="A65" s="35"/>
      <c r="B65" s="34"/>
      <c r="C65" s="38"/>
      <c r="D65" s="39"/>
      <c r="E65" s="34"/>
      <c r="F65" s="34"/>
      <c r="G65" s="34"/>
      <c r="H65" s="34"/>
      <c r="I65" s="34"/>
      <c r="J65" s="34"/>
      <c r="K65" s="34"/>
      <c r="L65" s="34"/>
    </row>
    <row r="66" spans="1:26" x14ac:dyDescent="0.2">
      <c r="A66" s="35"/>
      <c r="B66" s="34"/>
      <c r="C66" s="38"/>
      <c r="D66" s="39"/>
      <c r="E66" s="34"/>
      <c r="F66" s="34"/>
      <c r="G66" s="34"/>
      <c r="H66" s="34"/>
      <c r="I66" s="34"/>
      <c r="J66" s="34"/>
      <c r="K66" s="34"/>
      <c r="L66" s="34"/>
    </row>
    <row r="67" spans="1:26" ht="15.75" x14ac:dyDescent="0.2">
      <c r="A67" s="35"/>
      <c r="B67" s="8" t="s">
        <v>54</v>
      </c>
      <c r="C67" s="38"/>
      <c r="D67" s="39"/>
      <c r="E67" s="34"/>
      <c r="F67" s="34"/>
      <c r="G67" s="34"/>
      <c r="H67" s="34"/>
      <c r="I67" s="34"/>
      <c r="J67" s="34"/>
      <c r="K67" s="34"/>
      <c r="L67" s="34"/>
    </row>
    <row r="68" spans="1:26" ht="15.75" x14ac:dyDescent="0.2">
      <c r="A68" s="35"/>
      <c r="B68" s="8" t="s">
        <v>28</v>
      </c>
      <c r="C68" s="38"/>
      <c r="D68" s="39">
        <v>14.14</v>
      </c>
      <c r="E68" s="34"/>
      <c r="F68" s="34"/>
      <c r="G68" s="34"/>
      <c r="H68" s="34"/>
      <c r="I68" s="34"/>
      <c r="J68" s="34"/>
      <c r="K68" s="34"/>
      <c r="L68" s="3">
        <f>D68*D71-D70</f>
        <v>34.0792</v>
      </c>
      <c r="M68" s="40">
        <f>L68*8</f>
        <v>272.63</v>
      </c>
      <c r="N68" s="40">
        <f>D68*3.3-D70</f>
        <v>41.43</v>
      </c>
      <c r="O68" s="40">
        <f>D68*5.15-D70</f>
        <v>67.59</v>
      </c>
      <c r="P68" s="40"/>
      <c r="Q68" s="40">
        <f>D68*2.33-D70</f>
        <v>27.72</v>
      </c>
      <c r="R68" s="42">
        <f>SUM(M68:Q68)</f>
        <v>409.37</v>
      </c>
      <c r="S68" s="42">
        <v>409.37</v>
      </c>
    </row>
    <row r="69" spans="1:26" ht="15.75" x14ac:dyDescent="0.2">
      <c r="A69" s="35"/>
      <c r="B69" s="8" t="s">
        <v>29</v>
      </c>
      <c r="C69" s="38"/>
      <c r="D69" s="39">
        <v>16.350000000000001</v>
      </c>
      <c r="E69" s="34"/>
      <c r="F69" s="34"/>
      <c r="G69" s="34"/>
      <c r="H69" s="34"/>
      <c r="I69" s="34"/>
      <c r="J69" s="34"/>
      <c r="K69" s="34"/>
      <c r="L69" s="34"/>
      <c r="Z69">
        <f>D69*0.2*11</f>
        <v>35.97</v>
      </c>
    </row>
    <row r="70" spans="1:26" ht="15.75" x14ac:dyDescent="0.2">
      <c r="A70" s="35"/>
      <c r="B70" s="8" t="s">
        <v>30</v>
      </c>
      <c r="C70" s="38"/>
      <c r="D70" s="39">
        <f>1.45*1.65+1.35*2.1</f>
        <v>5.23</v>
      </c>
      <c r="E70" s="34"/>
      <c r="F70" s="34"/>
      <c r="G70" s="34"/>
      <c r="H70" s="34"/>
      <c r="I70" s="34"/>
      <c r="J70" s="34"/>
      <c r="K70" s="34"/>
      <c r="L70" s="34"/>
    </row>
    <row r="71" spans="1:26" ht="15.75" x14ac:dyDescent="0.2">
      <c r="A71" s="35"/>
      <c r="B71" s="8" t="s">
        <v>31</v>
      </c>
      <c r="C71" s="38"/>
      <c r="D71" s="39">
        <v>2.78</v>
      </c>
      <c r="E71" s="34"/>
      <c r="F71" s="34"/>
      <c r="G71" s="34"/>
      <c r="H71" s="34"/>
      <c r="I71" s="34"/>
      <c r="J71" s="34"/>
      <c r="K71" s="34"/>
      <c r="L71" s="34"/>
    </row>
    <row r="72" spans="1:26" x14ac:dyDescent="0.2">
      <c r="A72" s="35"/>
      <c r="B72" s="34"/>
      <c r="C72" s="38"/>
      <c r="D72" s="39"/>
      <c r="E72" s="34"/>
      <c r="F72" s="34"/>
      <c r="G72" s="34"/>
      <c r="H72" s="34"/>
      <c r="I72" s="34"/>
      <c r="J72" s="34"/>
      <c r="K72" s="34"/>
      <c r="L72" s="34"/>
    </row>
    <row r="73" spans="1:26" ht="15.75" x14ac:dyDescent="0.2">
      <c r="A73" s="35"/>
      <c r="B73" s="8" t="s">
        <v>55</v>
      </c>
      <c r="C73" s="38"/>
      <c r="D73" s="39"/>
      <c r="E73" s="34"/>
      <c r="F73" s="34"/>
      <c r="G73" s="34"/>
      <c r="H73" s="34"/>
      <c r="I73" s="34"/>
      <c r="J73" s="34"/>
      <c r="K73" s="34"/>
      <c r="L73" s="34"/>
    </row>
    <row r="74" spans="1:26" ht="15.75" x14ac:dyDescent="0.2">
      <c r="A74" s="35"/>
      <c r="B74" s="8" t="s">
        <v>28</v>
      </c>
      <c r="C74" s="38"/>
      <c r="D74" s="39">
        <v>14.99</v>
      </c>
      <c r="E74" s="34"/>
      <c r="F74" s="34"/>
      <c r="G74" s="34"/>
      <c r="H74" s="34"/>
      <c r="I74" s="34"/>
      <c r="J74" s="34"/>
      <c r="K74" s="34"/>
      <c r="L74" s="3">
        <f>D74*D77-D76</f>
        <v>36.6922</v>
      </c>
      <c r="M74" s="40">
        <f>L74*8</f>
        <v>293.54000000000002</v>
      </c>
      <c r="N74" s="40">
        <f>D74*3.3-D76</f>
        <v>44.49</v>
      </c>
      <c r="O74" s="40">
        <f>D74*5.15-D76</f>
        <v>72.22</v>
      </c>
      <c r="P74" s="40"/>
      <c r="Q74" s="40">
        <f>D74*2.33-D76</f>
        <v>29.95</v>
      </c>
      <c r="R74" s="42">
        <f>SUM(M74:Q74)</f>
        <v>440.2</v>
      </c>
      <c r="S74" s="42">
        <v>440.2</v>
      </c>
    </row>
    <row r="75" spans="1:26" ht="15.75" x14ac:dyDescent="0.2">
      <c r="A75" s="35"/>
      <c r="B75" s="8" t="s">
        <v>29</v>
      </c>
      <c r="C75" s="38"/>
      <c r="D75" s="39">
        <v>16.13</v>
      </c>
      <c r="E75" s="34"/>
      <c r="F75" s="34"/>
      <c r="G75" s="34"/>
      <c r="H75" s="34"/>
      <c r="I75" s="34"/>
      <c r="J75" s="34"/>
      <c r="K75" s="34"/>
      <c r="L75" s="34"/>
      <c r="Z75">
        <f>D75*0.2*11</f>
        <v>35.485999999999997</v>
      </c>
    </row>
    <row r="76" spans="1:26" ht="15.75" x14ac:dyDescent="0.2">
      <c r="A76" s="35"/>
      <c r="B76" s="8" t="s">
        <v>30</v>
      </c>
      <c r="C76" s="38"/>
      <c r="D76" s="39">
        <f>1.3*1.65+1.35*2.1</f>
        <v>4.9800000000000004</v>
      </c>
      <c r="E76" s="34"/>
      <c r="F76" s="34"/>
      <c r="G76" s="34"/>
      <c r="H76" s="34"/>
      <c r="I76" s="34"/>
      <c r="J76" s="34"/>
      <c r="K76" s="34"/>
      <c r="L76" s="34"/>
    </row>
    <row r="77" spans="1:26" ht="15.75" x14ac:dyDescent="0.2">
      <c r="A77" s="35"/>
      <c r="B77" s="8" t="s">
        <v>31</v>
      </c>
      <c r="C77" s="38"/>
      <c r="D77" s="39">
        <v>2.78</v>
      </c>
      <c r="E77" s="34"/>
      <c r="F77" s="34"/>
      <c r="G77" s="34"/>
      <c r="H77" s="34"/>
      <c r="I77" s="34"/>
      <c r="J77" s="34"/>
      <c r="K77" s="34"/>
      <c r="L77" s="34"/>
      <c r="N77" s="17" t="s">
        <v>63</v>
      </c>
      <c r="O77">
        <f>14.5+14.5+2.5*0.2*2*11</f>
        <v>40</v>
      </c>
      <c r="P77" s="40" t="s">
        <v>62</v>
      </c>
      <c r="R77" s="42">
        <f>SUM(R55:R76)</f>
        <v>1721.59</v>
      </c>
      <c r="W77">
        <f>W55*4-W59-W60</f>
        <v>1918.6079999999999</v>
      </c>
    </row>
    <row r="78" spans="1:26" x14ac:dyDescent="0.2">
      <c r="A78" s="35"/>
      <c r="B78" s="34"/>
      <c r="C78" s="38"/>
      <c r="D78" s="39"/>
      <c r="E78" s="34"/>
      <c r="F78" s="34"/>
      <c r="G78" s="34"/>
      <c r="H78" s="34"/>
      <c r="I78" s="34"/>
      <c r="J78" s="34"/>
      <c r="K78" s="34"/>
      <c r="L78" s="34"/>
    </row>
    <row r="79" spans="1:26" x14ac:dyDescent="0.2">
      <c r="A79" s="35"/>
      <c r="B79" s="34"/>
      <c r="C79" s="38"/>
      <c r="D79" s="39"/>
      <c r="E79" s="34"/>
      <c r="F79" s="34"/>
      <c r="G79" s="34"/>
      <c r="H79" s="34"/>
      <c r="I79" s="34"/>
      <c r="J79" s="34"/>
      <c r="K79" s="34"/>
      <c r="L79" s="34"/>
    </row>
    <row r="80" spans="1:26" x14ac:dyDescent="0.2">
      <c r="A80" s="35"/>
      <c r="B80" s="34"/>
      <c r="C80" s="38"/>
      <c r="D80" s="39"/>
      <c r="E80" s="34"/>
      <c r="F80" s="34"/>
      <c r="G80" s="34"/>
      <c r="H80" s="34"/>
      <c r="I80" s="34"/>
      <c r="J80" s="34"/>
      <c r="K80" s="34"/>
      <c r="L80" s="34"/>
    </row>
    <row r="81" spans="1:12" x14ac:dyDescent="0.2">
      <c r="A81" s="35"/>
      <c r="B81" s="34"/>
      <c r="C81" s="38"/>
      <c r="D81" s="39"/>
      <c r="E81" s="34"/>
      <c r="F81" s="34"/>
      <c r="G81" s="34"/>
      <c r="H81" s="34"/>
      <c r="I81" s="34"/>
      <c r="J81" s="34"/>
      <c r="K81" s="34"/>
      <c r="L81" s="34"/>
    </row>
    <row r="82" spans="1:12" x14ac:dyDescent="0.2">
      <c r="A82" s="35"/>
      <c r="B82" s="34"/>
      <c r="C82" s="38"/>
      <c r="D82" s="39"/>
      <c r="E82" s="34"/>
      <c r="F82" s="34"/>
      <c r="G82" s="34"/>
      <c r="H82" s="34"/>
      <c r="I82" s="34"/>
      <c r="J82" s="34"/>
      <c r="K82" s="34"/>
      <c r="L82" s="34"/>
    </row>
    <row r="83" spans="1:12" x14ac:dyDescent="0.2">
      <c r="A83" s="35"/>
      <c r="B83" s="34"/>
      <c r="C83" s="38"/>
      <c r="D83" s="39"/>
      <c r="E83" s="34"/>
      <c r="F83" s="34"/>
      <c r="G83" s="34"/>
      <c r="H83" s="34"/>
      <c r="I83" s="34"/>
      <c r="J83" s="34"/>
      <c r="K83" s="34"/>
      <c r="L83" s="34"/>
    </row>
    <row r="84" spans="1:12" x14ac:dyDescent="0.2">
      <c r="A84" s="35"/>
      <c r="B84" s="34"/>
      <c r="C84" s="38"/>
      <c r="D84" s="39"/>
      <c r="E84" s="34"/>
      <c r="F84" s="34"/>
      <c r="G84" s="34"/>
      <c r="H84" s="34"/>
      <c r="I84" s="34"/>
      <c r="J84" s="34"/>
      <c r="K84" s="34"/>
      <c r="L84" s="34"/>
    </row>
    <row r="85" spans="1:12" x14ac:dyDescent="0.2">
      <c r="A85" s="35"/>
      <c r="B85" s="34"/>
      <c r="C85" s="38"/>
      <c r="D85" s="39"/>
      <c r="E85" s="34"/>
      <c r="F85" s="34"/>
      <c r="G85" s="34"/>
      <c r="H85" s="34"/>
      <c r="I85" s="34"/>
      <c r="J85" s="34"/>
      <c r="K85" s="34"/>
      <c r="L85" s="34"/>
    </row>
    <row r="86" spans="1:12" x14ac:dyDescent="0.2">
      <c r="A86" s="35"/>
      <c r="B86" s="34"/>
      <c r="C86" s="38"/>
      <c r="D86" s="39"/>
      <c r="E86" s="34"/>
      <c r="F86" s="34"/>
      <c r="G86" s="34"/>
      <c r="H86" s="34"/>
      <c r="I86" s="34"/>
      <c r="J86" s="34"/>
      <c r="K86" s="34"/>
      <c r="L86" s="34"/>
    </row>
    <row r="87" spans="1:12" x14ac:dyDescent="0.2">
      <c r="A87" s="35"/>
      <c r="B87" s="34"/>
      <c r="C87" s="38"/>
      <c r="D87" s="39"/>
      <c r="E87" s="34"/>
      <c r="F87" s="34"/>
      <c r="G87" s="34"/>
      <c r="H87" s="34"/>
      <c r="I87" s="34"/>
      <c r="J87" s="34"/>
      <c r="K87" s="34"/>
      <c r="L87" s="34"/>
    </row>
    <row r="88" spans="1:12" x14ac:dyDescent="0.2">
      <c r="A88" s="35"/>
      <c r="B88" s="34"/>
      <c r="C88" s="38"/>
      <c r="D88" s="39"/>
      <c r="E88" s="34"/>
      <c r="F88" s="34"/>
      <c r="G88" s="34"/>
      <c r="H88" s="34"/>
      <c r="I88" s="34"/>
      <c r="J88" s="34"/>
      <c r="K88" s="34"/>
      <c r="L88" s="34"/>
    </row>
  </sheetData>
  <autoFilter ref="A11:L51" xr:uid="{00000000-0009-0000-0000-000002000000}"/>
  <mergeCells count="15">
    <mergeCell ref="I9:I10"/>
    <mergeCell ref="J9:K9"/>
    <mergeCell ref="L9:L10"/>
    <mergeCell ref="A9:A10"/>
    <mergeCell ref="B9:B10"/>
    <mergeCell ref="C9:C10"/>
    <mergeCell ref="D9:D10"/>
    <mergeCell ref="E9:F9"/>
    <mergeCell ref="G9:H9"/>
    <mergeCell ref="A7:L7"/>
    <mergeCell ref="A1:L1"/>
    <mergeCell ref="A2:L2"/>
    <mergeCell ref="A3:L3"/>
    <mergeCell ref="A5:L5"/>
    <mergeCell ref="A6:L6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ВОР по секционно</vt:lpstr>
      <vt:lpstr>ВОР</vt:lpstr>
      <vt:lpstr>объемы</vt:lpstr>
      <vt:lpstr>ВОР!Область_печати</vt:lpstr>
      <vt:lpstr>'ВОР по секционно'!Область_печати</vt:lpstr>
      <vt:lpstr>объемы!Область_печати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А. Иващенко</dc:creator>
  <cp:lastModifiedBy>Егорова Мария Станиславовна</cp:lastModifiedBy>
  <cp:lastPrinted>2023-11-15T07:08:45Z</cp:lastPrinted>
  <dcterms:created xsi:type="dcterms:W3CDTF">2021-10-04T12:38:00Z</dcterms:created>
  <dcterms:modified xsi:type="dcterms:W3CDTF">2026-02-10T06:30:44Z</dcterms:modified>
</cp:coreProperties>
</file>